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nwwvt.sharepoint.com/sites/accounting/Shared Documents/Financial Statements-internal/Financials - 2022/03 March 2022/"/>
    </mc:Choice>
  </mc:AlternateContent>
  <xr:revisionPtr revIDLastSave="0" documentId="8_{B4C84E24-9E78-4537-B080-0C73771321F9}" xr6:coauthVersionLast="47" xr6:coauthVersionMax="47" xr10:uidLastSave="{00000000-0000-0000-0000-000000000000}"/>
  <bookViews>
    <workbookView xWindow="-108" yWindow="-108" windowWidth="23256" windowHeight="12456" tabRatio="829" activeTab="2" xr2:uid="{00000000-000D-0000-FFFF-FFFF00000000}"/>
  </bookViews>
  <sheets>
    <sheet name="Grant Descriptions" sheetId="6" r:id="rId1"/>
    <sheet name="FY22 Board Approved Budget" sheetId="11" r:id="rId2"/>
    <sheet name="Op Stmt of Act (Bud v Act)" sheetId="1" r:id="rId3"/>
    <sheet name="Grant Expenses Breakdown" sheetId="7" r:id="rId4"/>
    <sheet name="Consultants Expenses Breakdown" sheetId="8" r:id="rId5"/>
    <sheet name="Rev + Exp by Prog" sheetId="2" r:id="rId6"/>
    <sheet name="Dashboard" sheetId="5" r:id="rId7"/>
    <sheet name="Balance Sheet" sheetId="3" r:id="rId8"/>
    <sheet name="Consolidated Stmt of Act" sheetId="4"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26" i="5" l="1"/>
  <c r="S26" i="5"/>
  <c r="R26" i="5"/>
  <c r="Q26" i="5"/>
  <c r="P26" i="5"/>
  <c r="O26" i="5"/>
  <c r="N26" i="5"/>
  <c r="M26" i="5"/>
  <c r="L26" i="5"/>
  <c r="K26" i="5"/>
  <c r="J26" i="5"/>
  <c r="I26" i="5"/>
  <c r="H26" i="5"/>
  <c r="T23" i="5"/>
  <c r="S23" i="5"/>
  <c r="R23" i="5"/>
  <c r="Q23" i="5"/>
  <c r="P23" i="5"/>
  <c r="O23" i="5"/>
  <c r="N23" i="5"/>
  <c r="M23" i="5"/>
  <c r="L23" i="5"/>
  <c r="K23" i="5"/>
  <c r="J23" i="5"/>
  <c r="I23" i="5"/>
  <c r="H23" i="5"/>
  <c r="G23" i="5"/>
  <c r="F23" i="5"/>
  <c r="E23" i="5"/>
  <c r="D23" i="5"/>
  <c r="C23" i="5"/>
  <c r="B23" i="5"/>
  <c r="T20" i="5"/>
  <c r="S20" i="5"/>
  <c r="R20" i="5"/>
  <c r="Q20" i="5"/>
  <c r="P20" i="5"/>
  <c r="O20" i="5"/>
  <c r="N20" i="5"/>
  <c r="M20" i="5"/>
  <c r="L20" i="5"/>
  <c r="K20" i="5"/>
  <c r="J20" i="5"/>
  <c r="I20" i="5"/>
  <c r="H20" i="5"/>
  <c r="G20" i="5"/>
  <c r="F20" i="5"/>
  <c r="E20" i="5"/>
  <c r="D20" i="5"/>
  <c r="C20" i="5"/>
  <c r="B20" i="5"/>
  <c r="T17" i="5"/>
  <c r="S17" i="5"/>
  <c r="R17" i="5"/>
  <c r="Q17" i="5"/>
  <c r="P17" i="5"/>
  <c r="O17" i="5"/>
  <c r="N17" i="5"/>
  <c r="M17" i="5"/>
  <c r="L17" i="5"/>
  <c r="K17" i="5"/>
  <c r="J17" i="5"/>
  <c r="I17" i="5"/>
  <c r="H17" i="5"/>
  <c r="G17" i="5"/>
  <c r="F17" i="5"/>
  <c r="E17" i="5"/>
  <c r="D17" i="5"/>
  <c r="C17" i="5"/>
  <c r="B17" i="5"/>
  <c r="T14" i="5"/>
  <c r="S14" i="5"/>
  <c r="R14" i="5"/>
  <c r="Q14" i="5"/>
  <c r="P14" i="5"/>
  <c r="O14" i="5"/>
  <c r="N14" i="5"/>
  <c r="M14" i="5"/>
  <c r="L14" i="5"/>
  <c r="K14" i="5"/>
  <c r="J14" i="5"/>
  <c r="I14" i="5"/>
  <c r="H14" i="5"/>
  <c r="G14" i="5"/>
  <c r="F14" i="5"/>
  <c r="E14" i="5"/>
  <c r="D14" i="5"/>
  <c r="C14" i="5"/>
  <c r="B14" i="5"/>
  <c r="U13" i="5"/>
  <c r="T13" i="5"/>
  <c r="S13" i="5"/>
  <c r="P13" i="5"/>
  <c r="O13" i="5"/>
  <c r="N13" i="5"/>
  <c r="M13" i="5"/>
  <c r="L13" i="5"/>
  <c r="K13" i="5"/>
  <c r="J13" i="5"/>
  <c r="I13" i="5"/>
  <c r="H13" i="5"/>
  <c r="G13" i="5"/>
  <c r="F13" i="5"/>
  <c r="E13" i="5"/>
  <c r="D13" i="5"/>
  <c r="C13" i="5"/>
  <c r="B13" i="5"/>
  <c r="G11" i="5"/>
  <c r="G10" i="5"/>
  <c r="D10" i="5"/>
  <c r="D11" i="5" s="1"/>
  <c r="C10" i="5"/>
  <c r="C9" i="5"/>
  <c r="D9" i="5" s="1"/>
  <c r="E9" i="5" s="1"/>
  <c r="F9" i="5" s="1"/>
  <c r="G9" i="5" s="1"/>
  <c r="G8" i="5"/>
  <c r="B8" i="5"/>
  <c r="F7" i="5"/>
  <c r="E7" i="5"/>
  <c r="D7" i="5"/>
  <c r="C7" i="5"/>
  <c r="B7" i="5"/>
  <c r="F6" i="5"/>
  <c r="E6" i="5"/>
  <c r="C6" i="5"/>
  <c r="F4" i="5"/>
  <c r="E4" i="5"/>
  <c r="D4" i="5"/>
  <c r="D8" i="5" s="1"/>
  <c r="C4" i="5"/>
  <c r="B4" i="5"/>
  <c r="F3" i="5"/>
  <c r="F10" i="5" s="1"/>
  <c r="F11" i="5" s="1"/>
  <c r="E3" i="5"/>
  <c r="E10" i="5" s="1"/>
  <c r="E11" i="5" s="1"/>
  <c r="D3" i="5"/>
  <c r="C3" i="5"/>
  <c r="B3" i="5"/>
  <c r="C2" i="5"/>
  <c r="C8" i="5" l="1"/>
  <c r="E8" i="5"/>
  <c r="F8" i="5"/>
  <c r="H5" i="1" l="1"/>
  <c r="I5" i="1"/>
  <c r="B21" i="8" l="1"/>
  <c r="C11" i="8"/>
  <c r="B11" i="8"/>
  <c r="B22" i="8" s="1"/>
  <c r="C13" i="8"/>
  <c r="C21" i="8" s="1"/>
  <c r="D21" i="8" s="1"/>
  <c r="I73" i="1"/>
  <c r="C21" i="7"/>
  <c r="F21" i="1"/>
  <c r="I39"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6" i="1"/>
  <c r="I7" i="1"/>
  <c r="I8" i="1"/>
  <c r="I9" i="1"/>
  <c r="I10" i="1"/>
  <c r="I11" i="1"/>
  <c r="I12" i="1"/>
  <c r="I13" i="1"/>
  <c r="I14" i="1"/>
  <c r="I15" i="1"/>
  <c r="I16" i="1"/>
  <c r="I17" i="1"/>
  <c r="I18" i="1"/>
  <c r="I19" i="1"/>
  <c r="I21" i="1"/>
  <c r="I22" i="1"/>
  <c r="I24" i="1"/>
  <c r="I25" i="1"/>
  <c r="I26" i="1"/>
  <c r="I27" i="1"/>
  <c r="I29" i="1"/>
  <c r="I30" i="1"/>
  <c r="I31" i="1"/>
  <c r="I32" i="1"/>
  <c r="I33" i="1"/>
  <c r="I34" i="1"/>
  <c r="I35" i="1"/>
  <c r="I36" i="1"/>
  <c r="C22" i="8" l="1"/>
  <c r="D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Insero CPA - Christie</author>
  </authors>
  <commentList>
    <comment ref="F1" authorId="0" shapeId="0" xr:uid="{94246DC4-4FF8-4B4A-B1EB-0BD0228CD9A7}">
      <text>
        <r>
          <rPr>
            <sz val="8"/>
            <rFont val="Tahoma"/>
            <family val="2"/>
          </rPr>
          <t xml:space="preserve">Insero CPA - Christie:
Hide column for now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Wisell</author>
    <author>Heather Starzynski</author>
  </authors>
  <commentList>
    <comment ref="T2" authorId="0" shapeId="0" xr:uid="{98BC57A3-E003-4032-97E1-26BB2A8C2973}">
      <text>
        <r>
          <rPr>
            <b/>
            <sz val="9"/>
            <color indexed="81"/>
            <rFont val="Tahoma"/>
            <family val="2"/>
          </rPr>
          <t>Ingrid Wisell:</t>
        </r>
        <r>
          <rPr>
            <sz val="9"/>
            <color indexed="81"/>
            <rFont val="Tahoma"/>
            <family val="2"/>
          </rPr>
          <t xml:space="preserve">
Balances as recorded in December 2021 Bank Reconciliation Spreadsheet
32354.71  = GOF 10225
100 = TD State Treas 11900
2036.47 = 290 Marble 10425
163.85 = October Hill 10100</t>
        </r>
      </text>
    </comment>
    <comment ref="T3" authorId="0" shapeId="0" xr:uid="{9D82D8D4-0454-4C50-B3C9-0A5957F453EE}">
      <text>
        <r>
          <rPr>
            <b/>
            <sz val="9"/>
            <color indexed="81"/>
            <rFont val="Tahoma"/>
            <family val="2"/>
          </rPr>
          <t xml:space="preserve">Ingrid Wisell:
As recorded in Bank reconciliation spreadsheet for December 2021
</t>
        </r>
        <r>
          <rPr>
            <sz val="9"/>
            <color indexed="81"/>
            <rFont val="Tahoma"/>
            <family val="2"/>
          </rPr>
          <t xml:space="preserve">
874.15  = TD Bank Loan Payments 10130
100  =  TD State Treasurer?  11900
2116450.18 =   ? 
75087.99 =  Bank of America 11851
-25000 =  ?
135206.65  = People's 10150</t>
        </r>
      </text>
    </comment>
    <comment ref="T4" authorId="0" shapeId="0" xr:uid="{E0C5F588-11E2-446A-95D0-3CB3D7FBA145}">
      <text>
        <r>
          <rPr>
            <b/>
            <sz val="9"/>
            <color indexed="81"/>
            <rFont val="Tahoma"/>
            <family val="2"/>
          </rPr>
          <t>Ingrid Wisell:</t>
        </r>
        <r>
          <rPr>
            <sz val="9"/>
            <color indexed="81"/>
            <rFont val="Tahoma"/>
            <family val="2"/>
          </rPr>
          <t xml:space="preserve">
14435.98 =Bank of America 11705
86218 = Principal due to Lenders 11715</t>
        </r>
      </text>
    </comment>
    <comment ref="T5" authorId="0" shapeId="0" xr:uid="{77F9FA36-3C63-4833-B616-F5B0541EC6FD}">
      <text>
        <r>
          <rPr>
            <b/>
            <sz val="9"/>
            <color indexed="81"/>
            <rFont val="Tahoma"/>
            <family val="2"/>
          </rPr>
          <t>Ingrid Wisell:</t>
        </r>
        <r>
          <rPr>
            <sz val="9"/>
            <color indexed="81"/>
            <rFont val="Tahoma"/>
            <family val="2"/>
          </rPr>
          <t xml:space="preserve">
Escrow 11525</t>
        </r>
      </text>
    </comment>
    <comment ref="T6" authorId="0" shapeId="0" xr:uid="{CA1BA2A8-4335-46E0-B604-930C9020C75A}">
      <text>
        <r>
          <rPr>
            <b/>
            <sz val="9"/>
            <color indexed="81"/>
            <rFont val="Tahoma"/>
            <family val="2"/>
          </rPr>
          <t>Ingrid Wisell:</t>
        </r>
        <r>
          <rPr>
            <sz val="9"/>
            <color indexed="81"/>
            <rFont val="Tahoma"/>
            <family val="2"/>
          </rPr>
          <t xml:space="preserve">
290 Tenant Security Deposit 10475</t>
        </r>
      </text>
    </comment>
    <comment ref="T7" authorId="0" shapeId="0" xr:uid="{E7BBA6F4-3D84-4A45-A558-BC12B211250B}">
      <text>
        <r>
          <rPr>
            <b/>
            <sz val="9"/>
            <color indexed="81"/>
            <rFont val="Tahoma"/>
            <family val="2"/>
          </rPr>
          <t>Ingrid Wisell:</t>
        </r>
        <r>
          <rPr>
            <sz val="9"/>
            <color indexed="81"/>
            <rFont val="Tahoma"/>
            <family val="2"/>
          </rPr>
          <t xml:space="preserve">
107321.2 = TD Bank Loan Loss Reserve 10125
208755.05 = VCDP 11700
(25000) = ?
9818.38= IRB Escrow 10000
2000 = TD Bank IORTA 10120</t>
        </r>
      </text>
    </comment>
    <comment ref="U14" authorId="1" shapeId="0" xr:uid="{6645EA1F-C049-4AF2-980F-E20022714AA6}">
      <text>
        <r>
          <rPr>
            <b/>
            <sz val="9"/>
            <color indexed="81"/>
            <rFont val="Tahoma"/>
            <family val="2"/>
          </rPr>
          <t>Heather Starzynski:</t>
        </r>
        <r>
          <rPr>
            <sz val="9"/>
            <color indexed="81"/>
            <rFont val="Tahoma"/>
            <family val="2"/>
          </rPr>
          <t xml:space="preserve">
Ratio looks high because the cash on hand is higher than usual and the low accounts payable (or invoices outstanding to be paid - which are normal)</t>
        </r>
      </text>
    </comment>
  </commentList>
</comments>
</file>

<file path=xl/sharedStrings.xml><?xml version="1.0" encoding="utf-8"?>
<sst xmlns="http://schemas.openxmlformats.org/spreadsheetml/2006/main" count="701" uniqueCount="276">
  <si>
    <t xml:space="preserve">VCDP </t>
  </si>
  <si>
    <t>VT Community Development Program</t>
  </si>
  <si>
    <t>VCDP - Home Repair Program</t>
  </si>
  <si>
    <t>Home Repair - We receive $400k from VCDP, as do all NWs groups, and are asked to facilitate home repair projects for low income households (HH). We provide at least $3000 in grants to each HH and also have a Home Repair Loan that can be provided if the HH income qualifies (lwo-moderate income)</t>
  </si>
  <si>
    <t>VCDP - Bennington Rental Repair</t>
  </si>
  <si>
    <t>Rental Repair [Bennington County] - This was the initial rental rehab program which started as a pilot with the state in 2015.  This program is ending in early 2022.</t>
  </si>
  <si>
    <t>VCDP - Vermont Housing Improvement Program</t>
  </si>
  <si>
    <t>Rental Repair (VHIP) [Tri-county] - We will receive a total of $1.5M for this new rental repair program. It is funded with ARPA dollars for 2022. There are additioanl funds in the current budget, if passed.</t>
  </si>
  <si>
    <t>EVT</t>
  </si>
  <si>
    <t>Efficiency Vermont</t>
  </si>
  <si>
    <t>Efficiency VT - Interest Rate Buydown</t>
  </si>
  <si>
    <t>EVT provides a Home Energy Loan Interest Rate Buy-down Progam whereby if the HH qualifies EVT will provide us additional funds to "buy down the IR" to 1.99%.</t>
  </si>
  <si>
    <t>Efficiency Vermont - Heat Squad</t>
  </si>
  <si>
    <t>HEAT Squad - These are the pass through funds from the VT FY21 budget allocation of $1M over 2 year ($500k in 2022 and 23). These funds will be used to run HS and subsidize HH's.</t>
  </si>
  <si>
    <t>VCF</t>
  </si>
  <si>
    <t>Vermont Community Foundation</t>
  </si>
  <si>
    <t>VCF - Heat Squad</t>
  </si>
  <si>
    <t>HEAT Squad NEK - This is ~$100k for operating funds for HS in the NEK.</t>
  </si>
  <si>
    <t>HUD</t>
  </si>
  <si>
    <t xml:space="preserve">Housing and Urban Development </t>
  </si>
  <si>
    <t>NeighborWorks- HUD Counseling</t>
  </si>
  <si>
    <t>Homeownership Center (HOC) - We have been allocated $28k for FY21 (which has not yet been granted, thus we will use it for FY22 operations. We are expecting to receive $28k for FY22 in Jan of 2023 which will will also use for funding FY22 HOC operations.</t>
  </si>
  <si>
    <t>NWA</t>
  </si>
  <si>
    <t>NeighborWorks America</t>
  </si>
  <si>
    <t>These are unrestricted dollars that are provided by NWA as part of our memebership in the NWA Network. These funds are allocated to us based on our organizational rating based on our PROMPT (onsite) review. We receive funds for being in good standing and our production as  reported quarterly. (The more we produce, the more we're provided.)</t>
  </si>
  <si>
    <t>VHFA</t>
  </si>
  <si>
    <t>Vermont Housing Finance Agency</t>
  </si>
  <si>
    <t>VHFA - Homeownership Center</t>
  </si>
  <si>
    <t>HOC - This is $12,500 provided to each HOC for operations.</t>
  </si>
  <si>
    <t>CDFI</t>
  </si>
  <si>
    <t>Community Development Financial Institution</t>
  </si>
  <si>
    <t>CDFI - Rapid Recovery Grant</t>
  </si>
  <si>
    <t xml:space="preserve">Lending - This was $882k that was received in 2021 that needs to be spend down by the end of 2022. The funds are required to go to HH's which are 80% of under AMI. </t>
  </si>
  <si>
    <t>VLITE</t>
  </si>
  <si>
    <t xml:space="preserve">Vermont Low Income Trust for Electricity </t>
  </si>
  <si>
    <t>VLITE Match - Heat Squad</t>
  </si>
  <si>
    <t xml:space="preserve">HEAT Squad -We were granted $198,000 for 2022-2023 to subsidize energy audits in Bennington County and the NEK. </t>
  </si>
  <si>
    <t>VCDP - Housing Stabilization Program</t>
  </si>
  <si>
    <t>HOC Counseling - This is the national program that provides counseling and grant support to qualified homeowners.</t>
  </si>
  <si>
    <t>CEDF</t>
  </si>
  <si>
    <t>Clean Energy Development Fund</t>
  </si>
  <si>
    <t>CEDF - 2021 Wood Stoves</t>
  </si>
  <si>
    <t>HEAT Squad - These funds from FY21 were extended into 2022, however this program is winding down. We will be appling for funds to again replace inefficient stoves with more efficient ones. This a program of the State of Vermont.</t>
  </si>
  <si>
    <t>GMP</t>
  </si>
  <si>
    <t>Green Mountain Power</t>
  </si>
  <si>
    <t>CEDF - GMP - Wood Stoves</t>
  </si>
  <si>
    <t>HEAT Squad - This is $10k in funds received by GMP to support the stove replacement program.</t>
  </si>
  <si>
    <t>CEDF - 2022 Wood Stove + Heat Pumps</t>
  </si>
  <si>
    <t>HEAT Squad - This RFP was let on 4/4/22. We wil be applying for funds to replace inefficient stoves with more efficient ones, as well as heat pumps.</t>
  </si>
  <si>
    <t>* Bolded items under Grants have associated passthru expenses in either grants or contractor payments.</t>
  </si>
  <si>
    <t>Purpose Description</t>
  </si>
  <si>
    <t>Total Annual Board Approved Budget</t>
  </si>
  <si>
    <t>Year to Date Budget through March</t>
  </si>
  <si>
    <t>Forecast</t>
  </si>
  <si>
    <t>Current Year Actual - March 2022</t>
  </si>
  <si>
    <t>Year to Date Variance</t>
  </si>
  <si>
    <t>Budget Remaining</t>
  </si>
  <si>
    <t>Notes</t>
  </si>
  <si>
    <t xml:space="preserve"> </t>
  </si>
  <si>
    <t>Revenue</t>
  </si>
  <si>
    <t xml:space="preserve">   Grants*</t>
  </si>
  <si>
    <t xml:space="preserve">            VCDP - Home Repair Program</t>
  </si>
  <si>
    <t>Home Repair - Tri-county</t>
  </si>
  <si>
    <t xml:space="preserve">            VCDP - Bennington Rental Repair</t>
  </si>
  <si>
    <t>Rental Repair - Bennington County</t>
  </si>
  <si>
    <t xml:space="preserve">            Efficiency VT - Interest Rate Buydown</t>
  </si>
  <si>
    <t>Home Energy Loan Interest Rate Buydown for Low Income Borrowers</t>
  </si>
  <si>
    <t xml:space="preserve">            VCDP - Vermont Housing Improvement Program</t>
  </si>
  <si>
    <t>Rental Repair - Tri-county</t>
  </si>
  <si>
    <t xml:space="preserve">            VCF - Heat Squad</t>
  </si>
  <si>
    <t>HEAT Squad Operations</t>
  </si>
  <si>
    <t xml:space="preserve">            Efficiency Vermont - Heat Squad</t>
  </si>
  <si>
    <t xml:space="preserve">            NeighborWorks- HUD Counseling</t>
  </si>
  <si>
    <t xml:space="preserve">HOC Operations </t>
  </si>
  <si>
    <t xml:space="preserve">            NeighborWorks America</t>
  </si>
  <si>
    <t xml:space="preserve">General Operating </t>
  </si>
  <si>
    <t xml:space="preserve">            VHFA - Homeownership Center</t>
  </si>
  <si>
    <t xml:space="preserve">            CDFI - Rapid Recovery Grant</t>
  </si>
  <si>
    <t>Lending</t>
  </si>
  <si>
    <t xml:space="preserve">            VLITE Match - Heat Squad</t>
  </si>
  <si>
    <t xml:space="preserve">            VCDP - Housing Stabilization Program</t>
  </si>
  <si>
    <t>Housing Stabilization Program - HOC Counseling</t>
  </si>
  <si>
    <t xml:space="preserve">            CEDF - 2021 Wood Stoves</t>
  </si>
  <si>
    <t>HEAT Squad Wood Stove Replacement</t>
  </si>
  <si>
    <t xml:space="preserve">            CEDF - GMP - Wood Stoves</t>
  </si>
  <si>
    <t xml:space="preserve">            CEDF - 2022 Wood Stove + Heat Pumps</t>
  </si>
  <si>
    <t xml:space="preserve">            Congressional Directed Spending - HEAT Squad</t>
  </si>
  <si>
    <t xml:space="preserve">         Total Grants</t>
  </si>
  <si>
    <t xml:space="preserve">   Contributions</t>
  </si>
  <si>
    <t xml:space="preserve">   Fees - Project Mgt</t>
  </si>
  <si>
    <t xml:space="preserve">            Fees - Escrow Management</t>
  </si>
  <si>
    <t xml:space="preserve">            Fees - General Contracting</t>
  </si>
  <si>
    <t xml:space="preserve">         Total Fees - Project Mgt</t>
  </si>
  <si>
    <t xml:space="preserve">   Fees - Lending</t>
  </si>
  <si>
    <t xml:space="preserve">   Fees - Real Estate</t>
  </si>
  <si>
    <t xml:space="preserve">            Fees - Homeland</t>
  </si>
  <si>
    <t>Shared Equity Program - Fees earned through counseling, stewardship fees and proceeds from sales.</t>
  </si>
  <si>
    <t xml:space="preserve">         Total Fees - Real Estate</t>
  </si>
  <si>
    <t>290 Marble - Rental income from leases at 290 Marble St.</t>
  </si>
  <si>
    <t xml:space="preserve">   Fees - Education</t>
  </si>
  <si>
    <t>HOC - Fees earned through offering Home Buyer Education Program.</t>
  </si>
  <si>
    <t xml:space="preserve">   Fees - Heat Squad</t>
  </si>
  <si>
    <t>HEAT Squad - Fees earned through project management.</t>
  </si>
  <si>
    <t xml:space="preserve">   Fees - Other</t>
  </si>
  <si>
    <t xml:space="preserve">   Interest Income</t>
  </si>
  <si>
    <t>Lending - Interst earned from Lending portfolio.</t>
  </si>
  <si>
    <t xml:space="preserve">   Rental Income</t>
  </si>
  <si>
    <t xml:space="preserve">      Total Revenue</t>
  </si>
  <si>
    <t>Expenses</t>
  </si>
  <si>
    <t xml:space="preserve">   Staff Salary, Taxes &amp; Benefits</t>
  </si>
  <si>
    <t xml:space="preserve">   Program Expenses</t>
  </si>
  <si>
    <t xml:space="preserve">            Credit Reports</t>
  </si>
  <si>
    <t xml:space="preserve">            Access &amp; Loan Fees</t>
  </si>
  <si>
    <t xml:space="preserve">            Recording Fees</t>
  </si>
  <si>
    <t xml:space="preserve">            Appraisals</t>
  </si>
  <si>
    <t xml:space="preserve">            Administrative Fees</t>
  </si>
  <si>
    <t xml:space="preserve">            Management Fee Exps</t>
  </si>
  <si>
    <t xml:space="preserve">         Total Program Expenses</t>
  </si>
  <si>
    <t xml:space="preserve">   Grants &amp; Incentives</t>
  </si>
  <si>
    <t>These are passthrough dollars. We receive various grants and a portion of those grants are to be used as grants to HHs.</t>
  </si>
  <si>
    <t xml:space="preserve">   Consultants</t>
  </si>
  <si>
    <t xml:space="preserve">   Contractors</t>
  </si>
  <si>
    <t>These are passthrough dollars. We receive various grants and a portion of those grants are to be used to pay contractors for the work they are doing with HHs.</t>
  </si>
  <si>
    <t xml:space="preserve">   Marketing &amp; Advertising</t>
  </si>
  <si>
    <t xml:space="preserve">   Mileage\Auto</t>
  </si>
  <si>
    <t xml:space="preserve">   Printing &amp; Shredding</t>
  </si>
  <si>
    <t xml:space="preserve">   Interest Expense</t>
  </si>
  <si>
    <t xml:space="preserve">   Insurance</t>
  </si>
  <si>
    <t xml:space="preserve">   Audit and legal fees</t>
  </si>
  <si>
    <t xml:space="preserve">   Rent</t>
  </si>
  <si>
    <t xml:space="preserve">   Taxes</t>
  </si>
  <si>
    <t xml:space="preserve">   Operating supplies</t>
  </si>
  <si>
    <t xml:space="preserve">   Bank/Payroll Fees</t>
  </si>
  <si>
    <t xml:space="preserve">   Conferences &amp; training</t>
  </si>
  <si>
    <t xml:space="preserve">   Communications</t>
  </si>
  <si>
    <t xml:space="preserve">   Equipment &amp; equipment rental</t>
  </si>
  <si>
    <t xml:space="preserve">   Software Support and upgrades</t>
  </si>
  <si>
    <t xml:space="preserve">   Postage &amp; Shipping</t>
  </si>
  <si>
    <t xml:space="preserve">   Dues &amp; Subscriptions</t>
  </si>
  <si>
    <t xml:space="preserve">   Maintenance &amp; Repairs</t>
  </si>
  <si>
    <t xml:space="preserve">   Property Costs</t>
  </si>
  <si>
    <t xml:space="preserve">   Miscellaneous</t>
  </si>
  <si>
    <t xml:space="preserve">   Indirect Costs</t>
  </si>
  <si>
    <t xml:space="preserve">      Total Expenses</t>
  </si>
  <si>
    <t>Profit (Loss)</t>
  </si>
  <si>
    <t>Grant Award Expended</t>
  </si>
  <si>
    <t>Grant to HH Budgeted</t>
  </si>
  <si>
    <t>Congressional Directed Spending - HEAT Squad</t>
  </si>
  <si>
    <t>line 44 on Op Stmt of Act</t>
  </si>
  <si>
    <t>Non-Grant Related</t>
  </si>
  <si>
    <t>Expended</t>
  </si>
  <si>
    <t>Budgeted</t>
  </si>
  <si>
    <t>Under / (Over)</t>
  </si>
  <si>
    <t>Virtual Homebuyer Eduation</t>
  </si>
  <si>
    <t>Sub-total Lending</t>
  </si>
  <si>
    <t>General Admin (includes Board Development)</t>
  </si>
  <si>
    <t>Action Circles</t>
  </si>
  <si>
    <t>Bernadette Orr (Strategic Planning Services)</t>
  </si>
  <si>
    <t>HR Acquired, LLC (CUstomer Support)</t>
  </si>
  <si>
    <t>Lincoln Parkway Consulting, LLC (Salesforce work)</t>
  </si>
  <si>
    <t>Liz DiMarco Weinmann Consulting
      Executive coaching
      Marketing/Executive visibility
      Board development</t>
  </si>
  <si>
    <t>Sub-total General Admin</t>
  </si>
  <si>
    <t>Total</t>
  </si>
  <si>
    <t>Housing Rehab</t>
  </si>
  <si>
    <t>Total Budget - FY 2022</t>
  </si>
  <si>
    <t>YTD Budget - 3 Month</t>
  </si>
  <si>
    <t>Current Year Actual 3 Month</t>
  </si>
  <si>
    <t>YTD 3 Month Variance</t>
  </si>
  <si>
    <t xml:space="preserve">   Grants</t>
  </si>
  <si>
    <t>Heat Squad</t>
  </si>
  <si>
    <t>Education &amp; Counseling</t>
  </si>
  <si>
    <t>Community Services &amp; Engagement</t>
  </si>
  <si>
    <t>Real Estate Mgt</t>
  </si>
  <si>
    <t>General Administration</t>
  </si>
  <si>
    <t>March 2022</t>
  </si>
  <si>
    <t>Assets</t>
  </si>
  <si>
    <t>Current Assets</t>
  </si>
  <si>
    <t>Cash - Unrestricted</t>
  </si>
  <si>
    <t>Loans Receivable - current portion</t>
  </si>
  <si>
    <t>Accounts Receivable</t>
  </si>
  <si>
    <t>Prepaid Expenses</t>
  </si>
  <si>
    <t>Total Current Assets</t>
  </si>
  <si>
    <t>Fixed Assets</t>
  </si>
  <si>
    <t>Land &amp; Buildings (net)</t>
  </si>
  <si>
    <t>Leasehold Improvements (net)</t>
  </si>
  <si>
    <t>Equipment &amp; Software (net)</t>
  </si>
  <si>
    <t>Total Fixed Assets</t>
  </si>
  <si>
    <t>Investments</t>
  </si>
  <si>
    <t>Investments in Real Estate</t>
  </si>
  <si>
    <t>Total Investments</t>
  </si>
  <si>
    <t>Other Assets</t>
  </si>
  <si>
    <t>Cash - Restricted</t>
  </si>
  <si>
    <t>Intercompany Receivables</t>
  </si>
  <si>
    <t>Capitilized Development Costs</t>
  </si>
  <si>
    <t>Loans Receivable - net of currrent portion</t>
  </si>
  <si>
    <t>Allowance for Uncollectable Loans</t>
  </si>
  <si>
    <t>Total Other Assets</t>
  </si>
  <si>
    <t>Total Assets</t>
  </si>
  <si>
    <t>Liabilities &amp; Net Assets</t>
  </si>
  <si>
    <t>Short-term Liabilities</t>
  </si>
  <si>
    <t>Accounts Payable &amp; Accruals</t>
  </si>
  <si>
    <t>Funds Held in Escrow</t>
  </si>
  <si>
    <t>Deferred Revenue</t>
  </si>
  <si>
    <t>Notes Payable - current portion</t>
  </si>
  <si>
    <t>Total Short-term Liabilities</t>
  </si>
  <si>
    <t>Long-term Liabilities</t>
  </si>
  <si>
    <t>Intercompany Payables</t>
  </si>
  <si>
    <t>Notes Payable - net of current portion</t>
  </si>
  <si>
    <t>Debt Issuance Costs</t>
  </si>
  <si>
    <t>Total Long-term Liabilities</t>
  </si>
  <si>
    <t>Net Assets</t>
  </si>
  <si>
    <t>Beginning Net assets</t>
  </si>
  <si>
    <t>Change in Net Assets</t>
  </si>
  <si>
    <t>Total Net Assets</t>
  </si>
  <si>
    <t>Total Liabilities &amp; Net Assets</t>
  </si>
  <si>
    <t>FY 2022</t>
  </si>
  <si>
    <t>FY 2021</t>
  </si>
  <si>
    <t>Current Year Change</t>
  </si>
  <si>
    <t>Current Year % Change</t>
  </si>
  <si>
    <t xml:space="preserve">            NeighborWorks - Capital</t>
  </si>
  <si>
    <t xml:space="preserve">            NeighborWorks  - Other</t>
  </si>
  <si>
    <t xml:space="preserve">            VLITE</t>
  </si>
  <si>
    <t xml:space="preserve">            Fees - Other</t>
  </si>
  <si>
    <t xml:space="preserve">            Management Fee Revenue</t>
  </si>
  <si>
    <t xml:space="preserve">         Total Fees - Other</t>
  </si>
  <si>
    <t xml:space="preserve">   Other Revenues</t>
  </si>
  <si>
    <t xml:space="preserve">   Stipends / Commissions / Contract Exp</t>
  </si>
  <si>
    <t xml:space="preserve">            Loan Servicing</t>
  </si>
  <si>
    <t xml:space="preserve">            Grants to Clients</t>
  </si>
  <si>
    <t xml:space="preserve">            Office Supplies</t>
  </si>
  <si>
    <t xml:space="preserve">            Office Cleaning &amp;  Supplies</t>
  </si>
  <si>
    <t xml:space="preserve">            Program Supplies &amp; Expenses</t>
  </si>
  <si>
    <t xml:space="preserve">            Community Events</t>
  </si>
  <si>
    <t xml:space="preserve">         Total Operating supplies</t>
  </si>
  <si>
    <t>Profit (Loss) Before Non-Operating</t>
  </si>
  <si>
    <t>Non-Operating Costs</t>
  </si>
  <si>
    <t xml:space="preserve">   Depreciation</t>
  </si>
  <si>
    <t xml:space="preserve">   Bad Debt &amp; Other Losses</t>
  </si>
  <si>
    <t xml:space="preserve">            Bad Debt Expense</t>
  </si>
  <si>
    <t xml:space="preserve">         Total Bad Debt &amp; Other Losses</t>
  </si>
  <si>
    <t xml:space="preserve">      Total Non-Operating Costs</t>
  </si>
  <si>
    <t>Cash By Restrictions</t>
  </si>
  <si>
    <t xml:space="preserve">Operating Cash </t>
  </si>
  <si>
    <t>Unrestricted Loan Funds</t>
  </si>
  <si>
    <t>Earmarked Loan Funds</t>
  </si>
  <si>
    <t>Client Escrowed Funds</t>
  </si>
  <si>
    <t>Restricted Operating Cash</t>
  </si>
  <si>
    <t>Restricted Loan Funds</t>
  </si>
  <si>
    <t>Total Cash</t>
  </si>
  <si>
    <t>Three Month Reserves - Optimal 90 Days</t>
  </si>
  <si>
    <t>Three Month Reserves - Actual</t>
  </si>
  <si>
    <t>Days Reserves Actual</t>
  </si>
  <si>
    <t>Ratios</t>
  </si>
  <si>
    <t>Operating Cash to Accounts Payable</t>
  </si>
  <si>
    <t>Goal: $1.00 (in cash) to $1.00 (in payables)</t>
  </si>
  <si>
    <t>to $1.00</t>
  </si>
  <si>
    <t>Measures ability to meet current obligations with cash on hand / less than $1 to $1 represents serious cashflow problems. A "Liquid Ratio"</t>
  </si>
  <si>
    <t>Unrestricted Cash to Current Liabilities</t>
  </si>
  <si>
    <t>Goal: $2.00 (in cash) to $1.00 (in payables)</t>
  </si>
  <si>
    <t>Measures ability to meet current obligations with all available unrestricted cash / less than $2 to $1 represents serious cash flow problems. A "Liquidity Ratio"</t>
  </si>
  <si>
    <t>Current Assets to Current Liabilities</t>
  </si>
  <si>
    <t>Goal: $2.00 (in C. Assets) to $1.00 (C. Liabilities)</t>
  </si>
  <si>
    <t>Measures ability to meet all obligations due within one year's time with all cash &amp; receivables available for those obligations. Less than $2 to $1 represents serious cashflow problems. A "Liquidity Ratio"</t>
  </si>
  <si>
    <t>Debt to Equity</t>
  </si>
  <si>
    <t>Goal: Greater than $.50 but less than $1.00 (Liabilities) to $1.00 Equity (net assets)</t>
  </si>
  <si>
    <t>Measures how Assets are financed, - a "Risk Ratio" - too high a debt ratio can impact future cashflow and the ability to secure additional debt, too low signals lack of financial leveraging and potential draining of existing resources</t>
  </si>
  <si>
    <t>Self-Sufficiency Ratio</t>
  </si>
  <si>
    <t>Goal: More than 60% of Revenue from Non-Government Sources</t>
  </si>
  <si>
    <t>&lt;40%</t>
  </si>
  <si>
    <t>Measures an organization's ability to generate income from non-governmental sources. Too low a ratio represents a reliance on government funding which can be risky due to cut-backs or elimination of funding at any time. Also impacts operational efficiencies due to ever-increasing government regulations</t>
  </si>
  <si>
    <t>This tab is being created and here as an FYI only.</t>
  </si>
  <si>
    <t>We will review the balance sheet at the end of the quarters.</t>
  </si>
  <si>
    <t>We will review the consolidated financial statement at the end of the quarters.</t>
  </si>
  <si>
    <t xml:space="preserve">NWWVT GRANT DESCRIPTIONS </t>
  </si>
  <si>
    <t>APPLIED - MAY 2022 - AWAITING RESPONSE</t>
  </si>
  <si>
    <t>See program budgets for breakdown of expenses - Board Approved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</si>
</sst>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51" x14ac:knownFonts="1">
    <font>
      <sz val="8"/>
      <name val="Tahoma"/>
    </font>
    <font>
      <u val="singleAccounting"/>
      <sz val="8"/>
      <name val="Tahoma"/>
      <family val="2"/>
    </font>
    <font>
      <sz val="8"/>
      <name val="Tahoma"/>
      <family val="2"/>
    </font>
    <font>
      <u val="doubleAccounting"/>
      <sz val="8"/>
      <name val="Tahoma"/>
      <family val="2"/>
    </font>
    <font>
      <b/>
      <sz val="8"/>
      <name val="Tahoma"/>
      <family val="2"/>
    </font>
    <font>
      <b/>
      <u val="singleAccounting"/>
      <sz val="8"/>
      <name val="Tahoma"/>
      <family val="2"/>
    </font>
    <font>
      <b/>
      <sz val="8"/>
      <name val="Tahoma"/>
      <family val="2"/>
    </font>
    <font>
      <u/>
      <sz val="8"/>
      <color theme="10"/>
      <name val="Tahoma"/>
      <family val="2"/>
    </font>
    <font>
      <b/>
      <u val="doubleAccounting"/>
      <sz val="8"/>
      <name val="Tahoma"/>
      <family val="2"/>
    </font>
    <font>
      <b/>
      <sz val="8"/>
      <name val="Calibri"/>
      <family val="2"/>
      <scheme val="minor"/>
    </font>
    <font>
      <sz val="11"/>
      <name val="Tahoma"/>
      <family val="2"/>
    </font>
    <font>
      <b/>
      <sz val="11"/>
      <name val="Tahoma"/>
      <family val="2"/>
    </font>
    <font>
      <b/>
      <sz val="10"/>
      <name val="Tahoma"/>
      <family val="2"/>
    </font>
    <font>
      <u val="singleAccounting"/>
      <sz val="8"/>
      <name val="Tahoma"/>
      <family val="2"/>
    </font>
    <font>
      <b/>
      <sz val="8"/>
      <name val="Tahoma"/>
      <family val="2"/>
    </font>
    <font>
      <u val="singleAccounting"/>
      <sz val="8"/>
      <color rgb="FFFF0000"/>
      <name val="Tahoma"/>
      <family val="2"/>
    </font>
    <font>
      <sz val="8"/>
      <color rgb="FFFF0000"/>
      <name val="Tahoma"/>
      <family val="2"/>
    </font>
    <font>
      <b/>
      <u val="singleAccounting"/>
      <sz val="8"/>
      <color rgb="FFFF0000"/>
      <name val="Tahoma"/>
      <family val="2"/>
    </font>
    <font>
      <b/>
      <i/>
      <sz val="10"/>
      <name val="Tahoma"/>
      <family val="2"/>
    </font>
    <font>
      <b/>
      <u val="singleAccounting"/>
      <sz val="8"/>
      <name val="Tahoma"/>
      <family val="2"/>
    </font>
    <font>
      <b/>
      <u val="doubleAccounting"/>
      <sz val="8"/>
      <color rgb="FFFF0000"/>
      <name val="Tahoma"/>
      <family val="2"/>
    </font>
    <font>
      <b/>
      <u val="doubleAccounting"/>
      <sz val="8"/>
      <name val="Tahoma"/>
      <family val="2"/>
    </font>
    <font>
      <sz val="8"/>
      <name val="Tahoma"/>
      <family val="2"/>
    </font>
    <font>
      <b/>
      <sz val="16"/>
      <color rgb="FFFFFFFF"/>
      <name val="Trebuchet MS"/>
      <family val="2"/>
    </font>
    <font>
      <sz val="16"/>
      <color rgb="FFFFFFFF"/>
      <name val="Trebuchet MS"/>
      <family val="2"/>
    </font>
    <font>
      <sz val="16"/>
      <color rgb="FF000000"/>
      <name val="Trebuchet MS"/>
      <family val="2"/>
    </font>
    <font>
      <i/>
      <sz val="16"/>
      <color rgb="FF000000"/>
      <name val="Trebuchet MS"/>
      <family val="2"/>
    </font>
    <font>
      <b/>
      <sz val="9"/>
      <color indexed="81"/>
      <name val="Tahoma"/>
      <family val="2"/>
    </font>
    <font>
      <sz val="9"/>
      <color indexed="81"/>
      <name val="Tahoma"/>
      <family val="2"/>
    </font>
    <font>
      <b/>
      <sz val="12"/>
      <color rgb="FF000000"/>
      <name val="Trebuchet MS"/>
      <family val="2"/>
    </font>
    <font>
      <sz val="12"/>
      <color rgb="FF000000"/>
      <name val="Trebuchet MS"/>
      <family val="2"/>
    </font>
    <font>
      <sz val="11"/>
      <color rgb="FF000000"/>
      <name val="Trebuchet MS"/>
      <family val="2"/>
    </font>
    <font>
      <sz val="10"/>
      <color rgb="FF000000"/>
      <name val="Trebuchet MS"/>
      <family val="2"/>
    </font>
    <font>
      <b/>
      <sz val="11"/>
      <name val="Calibri"/>
      <family val="2"/>
      <scheme val="minor"/>
    </font>
    <font>
      <sz val="11"/>
      <name val="Calibri"/>
      <family val="2"/>
      <scheme val="minor"/>
    </font>
    <font>
      <u/>
      <sz val="11"/>
      <color theme="10"/>
      <name val="Calibri"/>
      <family val="2"/>
      <scheme val="minor"/>
    </font>
    <font>
      <sz val="8"/>
      <name val="Calibri"/>
      <family val="2"/>
      <scheme val="minor"/>
    </font>
    <font>
      <sz val="9"/>
      <name val="Calibri"/>
      <family val="2"/>
      <scheme val="minor"/>
    </font>
    <font>
      <b/>
      <sz val="12"/>
      <name val="Calibri"/>
      <family val="2"/>
      <scheme val="minor"/>
    </font>
    <font>
      <sz val="12"/>
      <name val="Calibri"/>
      <family val="2"/>
      <scheme val="minor"/>
    </font>
    <font>
      <u val="singleAccounting"/>
      <sz val="9"/>
      <name val="Calibri"/>
      <family val="2"/>
      <scheme val="minor"/>
    </font>
    <font>
      <u val="singleAccounting"/>
      <sz val="9"/>
      <color rgb="FFFF0000"/>
      <name val="Calibri"/>
      <family val="2"/>
      <scheme val="minor"/>
    </font>
    <font>
      <b/>
      <sz val="9"/>
      <name val="Calibri"/>
      <family val="2"/>
      <scheme val="minor"/>
    </font>
    <font>
      <b/>
      <u/>
      <sz val="9"/>
      <name val="Calibri"/>
      <family val="2"/>
      <scheme val="minor"/>
    </font>
    <font>
      <u val="doubleAccounting"/>
      <sz val="9"/>
      <name val="Calibri"/>
      <family val="2"/>
      <scheme val="minor"/>
    </font>
    <font>
      <b/>
      <u val="singleAccounting"/>
      <sz val="9"/>
      <name val="Calibri"/>
      <family val="2"/>
      <scheme val="minor"/>
    </font>
    <font>
      <sz val="9"/>
      <color rgb="FFFF0000"/>
      <name val="Calibri"/>
      <family val="2"/>
      <scheme val="minor"/>
    </font>
    <font>
      <b/>
      <u val="singleAccounting"/>
      <sz val="9"/>
      <color rgb="FFFF0000"/>
      <name val="Calibri"/>
      <family val="2"/>
      <scheme val="minor"/>
    </font>
    <font>
      <b/>
      <u val="doubleAccounting"/>
      <sz val="9"/>
      <color rgb="FFFF0000"/>
      <name val="Calibri"/>
      <family val="2"/>
      <scheme val="minor"/>
    </font>
    <font>
      <b/>
      <u val="doubleAccounting"/>
      <sz val="9"/>
      <name val="Calibri"/>
      <family val="2"/>
      <scheme val="minor"/>
    </font>
    <font>
      <b/>
      <sz val="11"/>
      <color rgb="FFFF0000"/>
      <name val="Calibri"/>
      <family val="2"/>
      <scheme val="minor"/>
    </font>
  </fonts>
  <fills count="1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rgb="FFFFF2CC"/>
        <bgColor indexed="64"/>
      </patternFill>
    </fill>
    <fill>
      <patternFill patternType="solid">
        <fgColor rgb="FF4E67C8"/>
        <bgColor indexed="64"/>
      </patternFill>
    </fill>
    <fill>
      <patternFill patternType="solid">
        <fgColor rgb="FFE9EBF5"/>
        <bgColor indexed="64"/>
      </patternFill>
    </fill>
    <fill>
      <patternFill patternType="solid">
        <fgColor rgb="FFFFFFFF"/>
        <bgColor indexed="64"/>
      </patternFill>
    </fill>
    <fill>
      <patternFill patternType="solid">
        <fgColor rgb="FF8064A2"/>
        <bgColor rgb="FF000000"/>
      </patternFill>
    </fill>
    <fill>
      <patternFill patternType="solid">
        <fgColor rgb="FFE4DFEC"/>
        <bgColor rgb="FFE4DFEC"/>
      </patternFill>
    </fill>
    <fill>
      <patternFill patternType="solid">
        <fgColor rgb="FFFDE9D9"/>
        <bgColor rgb="FFE4DFEC"/>
      </patternFill>
    </fill>
    <fill>
      <patternFill patternType="solid">
        <fgColor rgb="FFFDE9D9"/>
        <bgColor rgb="FF000000"/>
      </patternFill>
    </fill>
    <fill>
      <patternFill patternType="solid">
        <fgColor rgb="FFE4DFEC"/>
        <bgColor rgb="FF000000"/>
      </patternFill>
    </fill>
    <fill>
      <patternFill patternType="solid">
        <fgColor rgb="FF92D05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bottom style="double">
        <color rgb="FF000000"/>
      </bottom>
      <diagonal/>
    </border>
    <border>
      <left/>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rgb="FFB1A0C7"/>
      </left>
      <right/>
      <top style="thin">
        <color indexed="64"/>
      </top>
      <bottom/>
      <diagonal/>
    </border>
    <border>
      <left/>
      <right style="thin">
        <color rgb="FFB1A0C7"/>
      </right>
      <top style="thin">
        <color indexed="64"/>
      </top>
      <bottom/>
      <diagonal/>
    </border>
    <border>
      <left style="thin">
        <color rgb="FFB1A0C7"/>
      </left>
      <right/>
      <top style="thin">
        <color rgb="FFB1A0C7"/>
      </top>
      <bottom/>
      <diagonal/>
    </border>
    <border>
      <left/>
      <right/>
      <top style="thin">
        <color rgb="FFB1A0C7"/>
      </top>
      <bottom/>
      <diagonal/>
    </border>
    <border>
      <left style="thin">
        <color rgb="FFB1A0C7"/>
      </left>
      <right/>
      <top/>
      <bottom style="thin">
        <color rgb="FFB1A0C7"/>
      </bottom>
      <diagonal/>
    </border>
    <border>
      <left/>
      <right/>
      <top/>
      <bottom style="thin">
        <color rgb="FFB1A0C7"/>
      </bottom>
      <diagonal/>
    </border>
    <border>
      <left/>
      <right style="thin">
        <color rgb="FFB1A0C7"/>
      </right>
      <top style="thin">
        <color rgb="FFB1A0C7"/>
      </top>
      <bottom/>
      <diagonal/>
    </border>
    <border>
      <left style="thin">
        <color rgb="FFB1A0C7"/>
      </left>
      <right/>
      <top/>
      <bottom/>
      <diagonal/>
    </border>
  </borders>
  <cellStyleXfs count="5">
    <xf numFmtId="0" fontId="0" fillId="0" borderId="0"/>
    <xf numFmtId="0" fontId="2" fillId="0" borderId="0"/>
    <xf numFmtId="0" fontId="7" fillId="0" borderId="0" applyNumberFormat="0" applyFill="0" applyBorder="0" applyAlignment="0" applyProtection="0"/>
    <xf numFmtId="44" fontId="22" fillId="0" borderId="0" applyFont="0" applyFill="0" applyBorder="0" applyAlignment="0" applyProtection="0"/>
    <xf numFmtId="9" fontId="22" fillId="0" borderId="0" applyFont="0" applyFill="0" applyBorder="0" applyAlignment="0" applyProtection="0"/>
  </cellStyleXfs>
  <cellXfs count="172">
    <xf numFmtId="0" fontId="0" fillId="0" borderId="0" xfId="0"/>
    <xf numFmtId="0" fontId="0" fillId="0" borderId="0" xfId="0" applyAlignment="1">
      <alignment horizontal="left"/>
    </xf>
    <xf numFmtId="40" fontId="0" fillId="0" borderId="0" xfId="0" applyNumberFormat="1" applyAlignment="1">
      <alignment horizontal="right" wrapText="1"/>
    </xf>
    <xf numFmtId="0" fontId="2" fillId="0" borderId="0" xfId="0" applyFont="1" applyAlignment="1">
      <alignment horizontal="left" vertical="top"/>
    </xf>
    <xf numFmtId="40" fontId="2" fillId="0" borderId="0" xfId="0" applyNumberFormat="1" applyFont="1" applyAlignment="1">
      <alignment horizontal="right" vertical="top" wrapText="1"/>
    </xf>
    <xf numFmtId="40" fontId="1" fillId="0" borderId="0" xfId="0" applyNumberFormat="1" applyFont="1" applyAlignment="1">
      <alignment horizontal="right" vertical="top" wrapText="1"/>
    </xf>
    <xf numFmtId="0" fontId="2" fillId="0" borderId="0" xfId="1"/>
    <xf numFmtId="40" fontId="2" fillId="0" borderId="0" xfId="1" applyNumberFormat="1" applyAlignment="1">
      <alignment horizontal="right"/>
    </xf>
    <xf numFmtId="0" fontId="4" fillId="0" borderId="0" xfId="0" applyFont="1" applyAlignment="1">
      <alignment horizontal="left" vertical="top"/>
    </xf>
    <xf numFmtId="0" fontId="4" fillId="0" borderId="0" xfId="0" applyFont="1" applyAlignment="1">
      <alignment horizontal="center"/>
    </xf>
    <xf numFmtId="0" fontId="6" fillId="0" borderId="0" xfId="0" applyFont="1" applyAlignment="1">
      <alignment horizontal="center"/>
    </xf>
    <xf numFmtId="40" fontId="4" fillId="0" borderId="0" xfId="0" applyNumberFormat="1" applyFont="1" applyAlignment="1">
      <alignment horizontal="center" wrapText="1"/>
    </xf>
    <xf numFmtId="0" fontId="0" fillId="0" borderId="0" xfId="0" applyAlignment="1">
      <alignment vertical="center"/>
    </xf>
    <xf numFmtId="0" fontId="2" fillId="0" borderId="0" xfId="0" applyFont="1" applyAlignment="1">
      <alignment horizontal="left" vertical="top" wrapText="1"/>
    </xf>
    <xf numFmtId="0" fontId="2" fillId="2" borderId="0" xfId="0" applyFont="1" applyFill="1" applyAlignment="1">
      <alignment horizontal="left" vertical="top"/>
    </xf>
    <xf numFmtId="0" fontId="4" fillId="2" borderId="0" xfId="0" applyFont="1" applyFill="1" applyAlignment="1">
      <alignment horizontal="left" vertical="top"/>
    </xf>
    <xf numFmtId="40" fontId="8" fillId="0" borderId="0" xfId="0" applyNumberFormat="1" applyFont="1" applyAlignment="1">
      <alignment horizontal="right" vertical="top" wrapText="1"/>
    </xf>
    <xf numFmtId="40" fontId="4" fillId="0" borderId="0" xfId="0" applyNumberFormat="1" applyFont="1" applyAlignment="1">
      <alignment horizontal="right" wrapText="1"/>
    </xf>
    <xf numFmtId="0" fontId="4" fillId="0" borderId="0" xfId="0" applyFont="1"/>
    <xf numFmtId="40" fontId="2" fillId="3" borderId="0" xfId="0" applyNumberFormat="1" applyFont="1" applyFill="1" applyAlignment="1">
      <alignment horizontal="right" vertical="top" wrapText="1"/>
    </xf>
    <xf numFmtId="0" fontId="4" fillId="0" borderId="0" xfId="0" applyFont="1" applyAlignment="1">
      <alignment horizontal="left" vertical="top" wrapText="1"/>
    </xf>
    <xf numFmtId="0" fontId="9" fillId="0" borderId="0" xfId="0" applyFont="1" applyAlignment="1">
      <alignment horizontal="left" vertical="top" wrapText="1"/>
    </xf>
    <xf numFmtId="40" fontId="1" fillId="3" borderId="0" xfId="0" applyNumberFormat="1" applyFont="1" applyFill="1" applyAlignment="1">
      <alignment horizontal="right" vertical="top" wrapText="1"/>
    </xf>
    <xf numFmtId="0" fontId="10" fillId="0" borderId="0" xfId="0" applyFont="1"/>
    <xf numFmtId="0" fontId="11" fillId="0" borderId="0" xfId="0" applyFont="1"/>
    <xf numFmtId="0" fontId="1" fillId="0" borderId="0" xfId="0" applyFont="1"/>
    <xf numFmtId="0" fontId="0" fillId="0" borderId="0" xfId="0" applyAlignment="1">
      <alignment wrapText="1"/>
    </xf>
    <xf numFmtId="0" fontId="2" fillId="0" borderId="0" xfId="0" applyFont="1"/>
    <xf numFmtId="0" fontId="3" fillId="0" borderId="0" xfId="0" applyFont="1"/>
    <xf numFmtId="40" fontId="0" fillId="0" borderId="0" xfId="0" applyNumberFormat="1"/>
    <xf numFmtId="0" fontId="12" fillId="0" borderId="0" xfId="0" applyFont="1"/>
    <xf numFmtId="0" fontId="12" fillId="0" borderId="0" xfId="1" applyFont="1"/>
    <xf numFmtId="40" fontId="4" fillId="0" borderId="1" xfId="0" applyNumberFormat="1" applyFont="1" applyBorder="1" applyAlignment="1">
      <alignment horizontal="center" wrapText="1"/>
    </xf>
    <xf numFmtId="40" fontId="4" fillId="3" borderId="1" xfId="0" applyNumberFormat="1" applyFont="1" applyFill="1" applyBorder="1" applyAlignment="1">
      <alignment horizontal="center" wrapText="1"/>
    </xf>
    <xf numFmtId="40" fontId="2" fillId="2" borderId="0" xfId="0" applyNumberFormat="1" applyFont="1" applyFill="1" applyAlignment="1">
      <alignment horizontal="right" vertical="top" wrapText="1"/>
    </xf>
    <xf numFmtId="0" fontId="5" fillId="0" borderId="0" xfId="0" applyFont="1"/>
    <xf numFmtId="0" fontId="4" fillId="0" borderId="0" xfId="1" applyFont="1"/>
    <xf numFmtId="4" fontId="0" fillId="0" borderId="0" xfId="0" applyNumberFormat="1" applyAlignment="1">
      <alignment wrapText="1"/>
    </xf>
    <xf numFmtId="0" fontId="13" fillId="0" borderId="0" xfId="0" applyFont="1" applyAlignment="1">
      <alignment wrapText="1"/>
    </xf>
    <xf numFmtId="4" fontId="13" fillId="0" borderId="0" xfId="0" applyNumberFormat="1" applyFont="1" applyAlignment="1">
      <alignment wrapText="1"/>
    </xf>
    <xf numFmtId="0" fontId="15" fillId="0" borderId="0" xfId="0" applyFont="1" applyAlignment="1">
      <alignment wrapText="1"/>
    </xf>
    <xf numFmtId="0" fontId="16" fillId="0" borderId="0" xfId="0" applyFont="1" applyAlignment="1">
      <alignment wrapText="1"/>
    </xf>
    <xf numFmtId="4" fontId="16" fillId="0" borderId="0" xfId="0" applyNumberFormat="1" applyFont="1" applyAlignment="1">
      <alignment wrapText="1"/>
    </xf>
    <xf numFmtId="4" fontId="15" fillId="0" borderId="0" xfId="0" applyNumberFormat="1" applyFont="1" applyAlignment="1">
      <alignment wrapText="1"/>
    </xf>
    <xf numFmtId="0" fontId="0" fillId="2" borderId="0" xfId="0" applyFill="1"/>
    <xf numFmtId="0" fontId="0" fillId="2" borderId="0" xfId="0" applyFill="1" applyAlignment="1">
      <alignment wrapText="1"/>
    </xf>
    <xf numFmtId="0" fontId="18" fillId="2" borderId="0" xfId="0" applyFont="1" applyFill="1" applyAlignment="1">
      <alignment wrapText="1"/>
    </xf>
    <xf numFmtId="0" fontId="14" fillId="0" borderId="0" xfId="0" applyFont="1"/>
    <xf numFmtId="4" fontId="20" fillId="0" borderId="0" xfId="0" applyNumberFormat="1" applyFont="1" applyAlignment="1">
      <alignment wrapText="1"/>
    </xf>
    <xf numFmtId="4" fontId="21" fillId="0" borderId="0" xfId="0" applyNumberFormat="1" applyFont="1" applyAlignment="1">
      <alignment wrapText="1"/>
    </xf>
    <xf numFmtId="0" fontId="19" fillId="0" borderId="0" xfId="0" applyFont="1" applyAlignment="1">
      <alignment wrapText="1"/>
    </xf>
    <xf numFmtId="0" fontId="8" fillId="0" borderId="0" xfId="0" applyFont="1"/>
    <xf numFmtId="0" fontId="21" fillId="0" borderId="0" xfId="0" applyFont="1" applyAlignment="1">
      <alignment wrapText="1"/>
    </xf>
    <xf numFmtId="0" fontId="20" fillId="0" borderId="0" xfId="0" applyFont="1" applyAlignment="1">
      <alignment wrapText="1"/>
    </xf>
    <xf numFmtId="43" fontId="21" fillId="0" borderId="0" xfId="0" applyNumberFormat="1" applyFont="1" applyAlignment="1">
      <alignment wrapText="1"/>
    </xf>
    <xf numFmtId="40" fontId="4" fillId="0" borderId="0" xfId="1" applyNumberFormat="1" applyFont="1" applyAlignment="1">
      <alignment horizontal="right"/>
    </xf>
    <xf numFmtId="40" fontId="2" fillId="4" borderId="0" xfId="0" applyNumberFormat="1" applyFont="1" applyFill="1" applyAlignment="1">
      <alignment horizontal="right" vertical="top" wrapText="1"/>
    </xf>
    <xf numFmtId="14" fontId="23" fillId="5" borderId="2" xfId="0" applyNumberFormat="1" applyFont="1" applyFill="1" applyBorder="1" applyAlignment="1">
      <alignment horizontal="left" vertical="center" wrapText="1" readingOrder="1"/>
    </xf>
    <xf numFmtId="14" fontId="24" fillId="5" borderId="2" xfId="0" applyNumberFormat="1" applyFont="1" applyFill="1" applyBorder="1" applyAlignment="1">
      <alignment horizontal="left" vertical="center" wrapText="1" readingOrder="1"/>
    </xf>
    <xf numFmtId="3" fontId="25" fillId="6" borderId="2" xfId="0" applyNumberFormat="1" applyFont="1" applyFill="1" applyBorder="1" applyAlignment="1">
      <alignment horizontal="left" vertical="center" wrapText="1" readingOrder="1"/>
    </xf>
    <xf numFmtId="3" fontId="25" fillId="7" borderId="2" xfId="0" applyNumberFormat="1" applyFont="1" applyFill="1" applyBorder="1" applyAlignment="1">
      <alignment horizontal="left" vertical="center" wrapText="1" readingOrder="1"/>
    </xf>
    <xf numFmtId="3" fontId="26" fillId="7" borderId="2" xfId="0" applyNumberFormat="1" applyFont="1" applyFill="1" applyBorder="1" applyAlignment="1">
      <alignment horizontal="left" vertical="center" wrapText="1" readingOrder="1"/>
    </xf>
    <xf numFmtId="3" fontId="25" fillId="0" borderId="2" xfId="0" applyNumberFormat="1" applyFont="1" applyBorder="1" applyAlignment="1">
      <alignment horizontal="left" vertical="center" wrapText="1" readingOrder="1"/>
    </xf>
    <xf numFmtId="14" fontId="23" fillId="8" borderId="6" xfId="0" applyNumberFormat="1" applyFont="1" applyFill="1" applyBorder="1" applyAlignment="1">
      <alignment horizontal="center" vertical="center" wrapText="1" readingOrder="1"/>
    </xf>
    <xf numFmtId="14" fontId="23" fillId="8" borderId="7" xfId="0" applyNumberFormat="1" applyFont="1" applyFill="1" applyBorder="1" applyAlignment="1">
      <alignment horizontal="center" vertical="center" wrapText="1" readingOrder="1"/>
    </xf>
    <xf numFmtId="0" fontId="29" fillId="9" borderId="9" xfId="0" applyFont="1" applyFill="1" applyBorder="1"/>
    <xf numFmtId="39" fontId="25" fillId="9" borderId="8" xfId="3" applyNumberFormat="1" applyFont="1" applyFill="1" applyBorder="1" applyAlignment="1">
      <alignment horizontal="center"/>
    </xf>
    <xf numFmtId="4" fontId="25" fillId="9" borderId="8" xfId="0" applyNumberFormat="1" applyFont="1" applyFill="1" applyBorder="1" applyAlignment="1">
      <alignment horizontal="center"/>
    </xf>
    <xf numFmtId="4" fontId="25" fillId="9" borderId="10" xfId="0" applyNumberFormat="1" applyFont="1" applyFill="1" applyBorder="1" applyAlignment="1">
      <alignment horizontal="center"/>
    </xf>
    <xf numFmtId="0" fontId="30" fillId="0" borderId="11" xfId="0" applyFont="1" applyBorder="1"/>
    <xf numFmtId="0" fontId="25" fillId="0" borderId="12" xfId="0" applyFont="1" applyBorder="1" applyAlignment="1">
      <alignment horizontal="center"/>
    </xf>
    <xf numFmtId="0" fontId="30" fillId="10" borderId="13" xfId="0" applyFont="1" applyFill="1" applyBorder="1" applyAlignment="1">
      <alignment horizontal="left"/>
    </xf>
    <xf numFmtId="0" fontId="30" fillId="10" borderId="14" xfId="0" applyFont="1" applyFill="1" applyBorder="1" applyAlignment="1">
      <alignment horizontal="left" wrapText="1"/>
    </xf>
    <xf numFmtId="0" fontId="30" fillId="10" borderId="13" xfId="0" applyFont="1" applyFill="1" applyBorder="1" applyAlignment="1">
      <alignment horizontal="left" wrapText="1"/>
    </xf>
    <xf numFmtId="0" fontId="29" fillId="9" borderId="11" xfId="0" applyFont="1" applyFill="1" applyBorder="1"/>
    <xf numFmtId="40" fontId="25" fillId="9" borderId="12" xfId="0" applyNumberFormat="1" applyFont="1" applyFill="1" applyBorder="1" applyAlignment="1">
      <alignment horizontal="center"/>
    </xf>
    <xf numFmtId="4" fontId="25" fillId="9" borderId="12" xfId="0" applyNumberFormat="1" applyFont="1" applyFill="1" applyBorder="1" applyAlignment="1">
      <alignment horizontal="center"/>
    </xf>
    <xf numFmtId="4" fontId="25" fillId="9" borderId="15" xfId="0" applyNumberFormat="1" applyFont="1" applyFill="1" applyBorder="1" applyAlignment="1">
      <alignment horizontal="center"/>
    </xf>
    <xf numFmtId="0" fontId="31" fillId="0" borderId="11" xfId="0" applyFont="1" applyBorder="1"/>
    <xf numFmtId="0" fontId="30" fillId="10" borderId="13" xfId="0" applyFont="1" applyFill="1" applyBorder="1" applyAlignment="1">
      <alignment vertical="center"/>
    </xf>
    <xf numFmtId="0" fontId="30" fillId="10" borderId="13" xfId="0" applyFont="1" applyFill="1" applyBorder="1" applyAlignment="1">
      <alignment horizontal="left" vertical="center" wrapText="1"/>
    </xf>
    <xf numFmtId="0" fontId="30" fillId="10" borderId="14" xfId="0" applyFont="1" applyFill="1" applyBorder="1" applyAlignment="1">
      <alignment horizontal="left" vertical="center" wrapText="1"/>
    </xf>
    <xf numFmtId="4" fontId="25" fillId="0" borderId="12" xfId="0" applyNumberFormat="1" applyFont="1" applyBorder="1" applyAlignment="1">
      <alignment horizontal="center"/>
    </xf>
    <xf numFmtId="4" fontId="25" fillId="0" borderId="15" xfId="0" applyNumberFormat="1" applyFont="1" applyBorder="1" applyAlignment="1">
      <alignment horizontal="center"/>
    </xf>
    <xf numFmtId="0" fontId="32" fillId="0" borderId="11" xfId="0" applyFont="1" applyBorder="1"/>
    <xf numFmtId="0" fontId="31" fillId="11" borderId="13" xfId="0" applyFont="1" applyFill="1" applyBorder="1" applyAlignment="1">
      <alignment horizontal="left" wrapText="1"/>
    </xf>
    <xf numFmtId="0" fontId="31" fillId="11" borderId="14" xfId="0" applyFont="1" applyFill="1" applyBorder="1" applyAlignment="1">
      <alignment horizontal="left" wrapText="1"/>
    </xf>
    <xf numFmtId="9" fontId="25" fillId="12" borderId="12" xfId="4" applyFont="1" applyFill="1" applyBorder="1" applyAlignment="1">
      <alignment horizontal="center"/>
    </xf>
    <xf numFmtId="9" fontId="25" fillId="12" borderId="15" xfId="4" applyFont="1" applyFill="1" applyBorder="1" applyAlignment="1">
      <alignment horizontal="center"/>
    </xf>
    <xf numFmtId="9" fontId="25" fillId="0" borderId="12" xfId="0" applyNumberFormat="1" applyFont="1" applyBorder="1" applyAlignment="1">
      <alignment horizontal="center"/>
    </xf>
    <xf numFmtId="0" fontId="31" fillId="11" borderId="16" xfId="0" applyFont="1" applyFill="1" applyBorder="1" applyAlignment="1">
      <alignment horizontal="left" wrapText="1"/>
    </xf>
    <xf numFmtId="0" fontId="31" fillId="11" borderId="0" xfId="0" applyFont="1" applyFill="1" applyAlignment="1">
      <alignment horizontal="left" wrapText="1"/>
    </xf>
    <xf numFmtId="0" fontId="33" fillId="0" borderId="0" xfId="0" applyFont="1"/>
    <xf numFmtId="0" fontId="34" fillId="0" borderId="0" xfId="0" applyFont="1" applyAlignment="1">
      <alignment horizontal="left" vertical="center"/>
    </xf>
    <xf numFmtId="43" fontId="34" fillId="0" borderId="0" xfId="0" applyNumberFormat="1" applyFont="1"/>
    <xf numFmtId="0" fontId="34" fillId="0" borderId="0" xfId="0" applyFont="1"/>
    <xf numFmtId="0" fontId="35" fillId="0" borderId="0" xfId="2" applyFont="1" applyAlignment="1">
      <alignment horizontal="left" vertical="center"/>
    </xf>
    <xf numFmtId="0" fontId="34" fillId="0" borderId="0" xfId="0" applyFont="1" applyAlignment="1">
      <alignment horizontal="left" vertical="top"/>
    </xf>
    <xf numFmtId="43" fontId="34" fillId="0" borderId="1" xfId="0" applyNumberFormat="1" applyFont="1" applyBorder="1"/>
    <xf numFmtId="40" fontId="34" fillId="3" borderId="0" xfId="0" applyNumberFormat="1" applyFont="1" applyFill="1"/>
    <xf numFmtId="0" fontId="34" fillId="2" borderId="0" xfId="0" applyFont="1" applyFill="1"/>
    <xf numFmtId="0" fontId="36" fillId="0" borderId="0" xfId="0" applyFont="1"/>
    <xf numFmtId="0" fontId="37" fillId="0" borderId="0" xfId="0" applyFont="1"/>
    <xf numFmtId="0" fontId="38" fillId="3" borderId="0" xfId="0" applyFont="1" applyFill="1"/>
    <xf numFmtId="0" fontId="39" fillId="3" borderId="0" xfId="0" applyFont="1" applyFill="1"/>
    <xf numFmtId="0" fontId="33" fillId="0" borderId="0" xfId="0" applyFont="1" applyAlignment="1">
      <alignment horizontal="left" vertical="center"/>
    </xf>
    <xf numFmtId="43" fontId="34" fillId="0" borderId="5" xfId="0" applyNumberFormat="1" applyFont="1" applyBorder="1"/>
    <xf numFmtId="0" fontId="34" fillId="0" borderId="0" xfId="0" applyFont="1" applyAlignment="1">
      <alignment horizontal="left" vertical="center" wrapText="1"/>
    </xf>
    <xf numFmtId="43" fontId="34" fillId="0" borderId="3" xfId="0" applyNumberFormat="1" applyFont="1" applyBorder="1"/>
    <xf numFmtId="0" fontId="39" fillId="0" borderId="0" xfId="0" applyFont="1" applyFill="1"/>
    <xf numFmtId="0" fontId="0" fillId="0" borderId="0" xfId="0" applyFill="1"/>
    <xf numFmtId="40" fontId="34" fillId="0" borderId="0" xfId="1" applyNumberFormat="1" applyFont="1" applyAlignment="1">
      <alignment horizontal="right"/>
    </xf>
    <xf numFmtId="0" fontId="37" fillId="0" borderId="0" xfId="1" applyFont="1" applyAlignment="1">
      <alignment horizontal="left" wrapText="1"/>
    </xf>
    <xf numFmtId="0" fontId="37" fillId="0" borderId="0" xfId="1" applyFont="1"/>
    <xf numFmtId="40" fontId="37" fillId="0" borderId="0" xfId="1" applyNumberFormat="1" applyFont="1" applyAlignment="1">
      <alignment horizontal="right" wrapText="1"/>
    </xf>
    <xf numFmtId="0" fontId="37" fillId="0" borderId="0" xfId="0" applyFont="1" applyAlignment="1">
      <alignment wrapText="1"/>
    </xf>
    <xf numFmtId="17" fontId="40" fillId="0" borderId="3" xfId="0" quotePrefix="1" applyNumberFormat="1" applyFont="1" applyBorder="1" applyAlignment="1">
      <alignment horizontal="center" wrapText="1"/>
    </xf>
    <xf numFmtId="0" fontId="40" fillId="0" borderId="0" xfId="0" applyFont="1"/>
    <xf numFmtId="4" fontId="37" fillId="0" borderId="0" xfId="0" applyNumberFormat="1" applyFont="1" applyAlignment="1">
      <alignment wrapText="1"/>
    </xf>
    <xf numFmtId="4" fontId="40" fillId="0" borderId="3" xfId="0" applyNumberFormat="1" applyFont="1" applyBorder="1" applyAlignment="1">
      <alignment wrapText="1"/>
    </xf>
    <xf numFmtId="4" fontId="37" fillId="0" borderId="3" xfId="0" applyNumberFormat="1" applyFont="1" applyBorder="1" applyAlignment="1">
      <alignment wrapText="1"/>
    </xf>
    <xf numFmtId="4" fontId="41" fillId="0" borderId="3" xfId="0" applyNumberFormat="1" applyFont="1" applyBorder="1" applyAlignment="1">
      <alignment wrapText="1"/>
    </xf>
    <xf numFmtId="0" fontId="42" fillId="0" borderId="0" xfId="0" applyFont="1" applyAlignment="1">
      <alignment wrapText="1"/>
    </xf>
    <xf numFmtId="4" fontId="43" fillId="0" borderId="4" xfId="0" applyNumberFormat="1" applyFont="1" applyBorder="1" applyAlignment="1">
      <alignment wrapText="1"/>
    </xf>
    <xf numFmtId="0" fontId="44" fillId="0" borderId="0" xfId="0" applyFont="1"/>
    <xf numFmtId="4" fontId="45" fillId="0" borderId="4" xfId="0" applyNumberFormat="1" applyFont="1" applyBorder="1" applyAlignment="1">
      <alignment wrapText="1"/>
    </xf>
    <xf numFmtId="0" fontId="33" fillId="3" borderId="0" xfId="1" applyFont="1" applyFill="1" applyAlignment="1">
      <alignment horizontal="left"/>
    </xf>
    <xf numFmtId="0" fontId="33" fillId="3" borderId="0" xfId="1" applyFont="1" applyFill="1" applyAlignment="1"/>
    <xf numFmtId="4" fontId="37" fillId="0" borderId="0" xfId="0" applyNumberFormat="1" applyFont="1"/>
    <xf numFmtId="4" fontId="46" fillId="0" borderId="0" xfId="0" applyNumberFormat="1" applyFont="1"/>
    <xf numFmtId="0" fontId="46" fillId="0" borderId="0" xfId="0" applyFont="1"/>
    <xf numFmtId="4" fontId="40" fillId="0" borderId="0" xfId="0" applyNumberFormat="1" applyFont="1"/>
    <xf numFmtId="4" fontId="41" fillId="0" borderId="0" xfId="0" applyNumberFormat="1" applyFont="1"/>
    <xf numFmtId="0" fontId="41" fillId="0" borderId="0" xfId="0" applyFont="1"/>
    <xf numFmtId="0" fontId="42" fillId="0" borderId="0" xfId="0" applyFont="1"/>
    <xf numFmtId="4" fontId="45" fillId="0" borderId="0" xfId="0" applyNumberFormat="1" applyFont="1"/>
    <xf numFmtId="4" fontId="47" fillId="0" borderId="0" xfId="0" applyNumberFormat="1" applyFont="1"/>
    <xf numFmtId="0" fontId="47" fillId="0" borderId="0" xfId="0" applyFont="1"/>
    <xf numFmtId="0" fontId="45" fillId="0" borderId="0" xfId="0" applyFont="1"/>
    <xf numFmtId="4" fontId="48" fillId="0" borderId="0" xfId="0" applyNumberFormat="1" applyFont="1"/>
    <xf numFmtId="4" fontId="49" fillId="0" borderId="0" xfId="0" applyNumberFormat="1" applyFont="1"/>
    <xf numFmtId="0" fontId="48" fillId="0" borderId="0" xfId="0" applyFont="1"/>
    <xf numFmtId="0" fontId="42" fillId="0" borderId="0" xfId="1" applyFont="1"/>
    <xf numFmtId="0" fontId="37" fillId="0" borderId="0" xfId="1" applyFont="1" applyAlignment="1">
      <alignment horizontal="left"/>
    </xf>
    <xf numFmtId="40" fontId="37" fillId="0" borderId="0" xfId="1" applyNumberFormat="1" applyFont="1" applyAlignment="1">
      <alignment horizontal="right"/>
    </xf>
    <xf numFmtId="0" fontId="33" fillId="3" borderId="0" xfId="1" applyFont="1" applyFill="1"/>
    <xf numFmtId="40" fontId="33" fillId="3" borderId="0" xfId="1" applyNumberFormat="1" applyFont="1" applyFill="1" applyAlignment="1">
      <alignment horizontal="right"/>
    </xf>
    <xf numFmtId="0" fontId="34" fillId="0" borderId="2" xfId="0" applyFont="1" applyBorder="1" applyAlignment="1">
      <alignment vertical="center"/>
    </xf>
    <xf numFmtId="0" fontId="34" fillId="0" borderId="2" xfId="0" applyFont="1" applyBorder="1" applyAlignment="1">
      <alignment horizontal="left" vertical="center"/>
    </xf>
    <xf numFmtId="0" fontId="34" fillId="0" borderId="2" xfId="0" applyFont="1" applyBorder="1" applyAlignment="1">
      <alignment vertical="center" wrapText="1"/>
    </xf>
    <xf numFmtId="0" fontId="35" fillId="0" borderId="2" xfId="2" applyFont="1" applyBorder="1" applyAlignment="1">
      <alignment horizontal="left" vertical="center"/>
    </xf>
    <xf numFmtId="0" fontId="34" fillId="0" borderId="0" xfId="0" applyFont="1" applyAlignment="1">
      <alignment vertical="center"/>
    </xf>
    <xf numFmtId="0" fontId="35" fillId="0" borderId="2" xfId="2" applyFont="1" applyBorder="1" applyAlignment="1">
      <alignment vertical="center"/>
    </xf>
    <xf numFmtId="0" fontId="34" fillId="0" borderId="2" xfId="0" applyFont="1" applyBorder="1" applyAlignment="1">
      <alignment horizontal="left" vertical="center" wrapText="1"/>
    </xf>
    <xf numFmtId="0" fontId="50" fillId="0" borderId="2" xfId="0" applyFont="1" applyBorder="1" applyAlignment="1">
      <alignment vertical="center" wrapText="1"/>
    </xf>
    <xf numFmtId="0" fontId="38" fillId="3" borderId="0" xfId="0" applyFont="1" applyFill="1" applyAlignment="1">
      <alignment horizontal="center"/>
    </xf>
    <xf numFmtId="0" fontId="13" fillId="3" borderId="0" xfId="0" applyFont="1" applyFill="1" applyAlignment="1">
      <alignment wrapText="1"/>
    </xf>
    <xf numFmtId="0" fontId="4" fillId="0" borderId="0" xfId="0" applyFont="1" applyAlignment="1">
      <alignment horizontal="left" vertical="center"/>
    </xf>
    <xf numFmtId="40" fontId="4" fillId="0" borderId="0" xfId="0" applyNumberFormat="1" applyFont="1" applyAlignment="1">
      <alignment horizontal="right" vertical="center" wrapText="1"/>
    </xf>
    <xf numFmtId="4" fontId="14" fillId="0" borderId="0" xfId="0" applyNumberFormat="1" applyFont="1" applyAlignment="1">
      <alignment vertical="center" wrapText="1"/>
    </xf>
    <xf numFmtId="4" fontId="17" fillId="0" borderId="0" xfId="0" applyNumberFormat="1" applyFont="1" applyAlignment="1">
      <alignment vertical="center" wrapText="1"/>
    </xf>
    <xf numFmtId="40" fontId="0" fillId="0" borderId="0" xfId="0" applyNumberFormat="1" applyAlignment="1">
      <alignment vertical="center"/>
    </xf>
    <xf numFmtId="0" fontId="4" fillId="0" borderId="0" xfId="0" applyFont="1" applyAlignment="1">
      <alignment vertical="center"/>
    </xf>
    <xf numFmtId="0" fontId="0" fillId="0" borderId="0" xfId="0" applyAlignment="1"/>
    <xf numFmtId="40" fontId="0" fillId="0" borderId="0" xfId="0" applyNumberFormat="1" applyFill="1" applyAlignment="1">
      <alignment horizontal="right" wrapText="1"/>
    </xf>
    <xf numFmtId="40" fontId="0" fillId="0" borderId="0" xfId="0" applyNumberFormat="1" applyFill="1"/>
    <xf numFmtId="0" fontId="0" fillId="13" borderId="0" xfId="0" applyFill="1"/>
    <xf numFmtId="0" fontId="4" fillId="13" borderId="0" xfId="0" applyFont="1" applyFill="1" applyAlignment="1">
      <alignment horizontal="right" vertical="top"/>
    </xf>
    <xf numFmtId="0" fontId="2" fillId="13" borderId="0" xfId="0" applyFont="1" applyFill="1" applyAlignment="1">
      <alignment horizontal="right" vertical="top"/>
    </xf>
    <xf numFmtId="40" fontId="1" fillId="13" borderId="0" xfId="0" applyNumberFormat="1" applyFont="1" applyFill="1" applyAlignment="1">
      <alignment horizontal="right" vertical="top" wrapText="1"/>
    </xf>
    <xf numFmtId="40" fontId="0" fillId="13" borderId="0" xfId="0" applyNumberFormat="1" applyFill="1" applyAlignment="1">
      <alignment horizontal="right" wrapText="1"/>
    </xf>
    <xf numFmtId="0" fontId="4" fillId="3" borderId="0" xfId="0" applyFont="1" applyFill="1" applyAlignment="1">
      <alignment horizontal="left" vertical="top" wrapText="1"/>
    </xf>
  </cellXfs>
  <cellStyles count="5">
    <cellStyle name="Currency" xfId="3" builtinId="4"/>
    <cellStyle name="Hyperlink" xfId="2" builtinId="8"/>
    <cellStyle name="Normal" xfId="0" builtinId="0"/>
    <cellStyle name="Normal 2" xfId="1" xr:uid="{00000000-0005-0000-0000-000001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publicservice.vermont.gov/renewable_energy/cedf" TargetMode="External"/><Relationship Id="rId2" Type="http://schemas.openxmlformats.org/officeDocument/2006/relationships/hyperlink" Target="https://vlite.org/" TargetMode="External"/><Relationship Id="rId1" Type="http://schemas.openxmlformats.org/officeDocument/2006/relationships/hyperlink" Target="https://www.efficiencyvermont.com/services/financing/homes/home-energy-loan"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efficiencyvermont.com/services/financing/homes/home-energy-loan"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005E4-3BCC-42B8-B71E-3343B6CB2246}">
  <sheetPr>
    <tabColor theme="8" tint="-0.249977111117893"/>
  </sheetPr>
  <dimension ref="A1:D17"/>
  <sheetViews>
    <sheetView workbookViewId="0">
      <selection sqref="A1:D1"/>
    </sheetView>
  </sheetViews>
  <sheetFormatPr defaultRowHeight="14.4" x14ac:dyDescent="0.3"/>
  <cols>
    <col min="1" max="1" width="12.42578125" style="95" customWidth="1"/>
    <col min="2" max="2" width="38.28515625" style="95" customWidth="1"/>
    <col min="3" max="3" width="47.7109375" style="95" customWidth="1"/>
    <col min="4" max="4" width="58.7109375" style="95" customWidth="1"/>
  </cols>
  <sheetData>
    <row r="1" spans="1:4" ht="15.6" x14ac:dyDescent="0.3">
      <c r="A1" s="155" t="s">
        <v>273</v>
      </c>
      <c r="B1" s="155"/>
      <c r="C1" s="155"/>
      <c r="D1" s="155"/>
    </row>
    <row r="3" spans="1:4" s="12" customFormat="1" ht="58.5" customHeight="1" x14ac:dyDescent="0.2">
      <c r="A3" s="147" t="s">
        <v>0</v>
      </c>
      <c r="B3" s="147" t="s">
        <v>1</v>
      </c>
      <c r="C3" s="148" t="s">
        <v>2</v>
      </c>
      <c r="D3" s="149" t="s">
        <v>3</v>
      </c>
    </row>
    <row r="4" spans="1:4" s="12" customFormat="1" ht="57.6" x14ac:dyDescent="0.2">
      <c r="A4" s="147"/>
      <c r="B4" s="147"/>
      <c r="C4" s="148" t="s">
        <v>4</v>
      </c>
      <c r="D4" s="149" t="s">
        <v>5</v>
      </c>
    </row>
    <row r="5" spans="1:4" s="12" customFormat="1" ht="57.6" x14ac:dyDescent="0.2">
      <c r="A5" s="147"/>
      <c r="B5" s="147"/>
      <c r="C5" s="153" t="s">
        <v>6</v>
      </c>
      <c r="D5" s="149" t="s">
        <v>7</v>
      </c>
    </row>
    <row r="6" spans="1:4" s="12" customFormat="1" ht="66" customHeight="1" x14ac:dyDescent="0.2">
      <c r="A6" s="147" t="s">
        <v>8</v>
      </c>
      <c r="B6" s="147" t="s">
        <v>9</v>
      </c>
      <c r="C6" s="150" t="s">
        <v>10</v>
      </c>
      <c r="D6" s="149" t="s">
        <v>11</v>
      </c>
    </row>
    <row r="7" spans="1:4" s="12" customFormat="1" ht="64.2" customHeight="1" x14ac:dyDescent="0.2">
      <c r="A7" s="147"/>
      <c r="B7" s="147"/>
      <c r="C7" s="148" t="s">
        <v>12</v>
      </c>
      <c r="D7" s="149" t="s">
        <v>13</v>
      </c>
    </row>
    <row r="8" spans="1:4" s="12" customFormat="1" ht="31.95" customHeight="1" x14ac:dyDescent="0.2">
      <c r="A8" s="147" t="s">
        <v>14</v>
      </c>
      <c r="B8" s="147" t="s">
        <v>15</v>
      </c>
      <c r="C8" s="148" t="s">
        <v>16</v>
      </c>
      <c r="D8" s="149" t="s">
        <v>17</v>
      </c>
    </row>
    <row r="9" spans="1:4" s="12" customFormat="1" ht="81" customHeight="1" x14ac:dyDescent="0.2">
      <c r="A9" s="147" t="s">
        <v>18</v>
      </c>
      <c r="B9" s="147" t="s">
        <v>19</v>
      </c>
      <c r="C9" s="148" t="s">
        <v>20</v>
      </c>
      <c r="D9" s="149" t="s">
        <v>21</v>
      </c>
    </row>
    <row r="10" spans="1:4" s="12" customFormat="1" ht="64.2" customHeight="1" x14ac:dyDescent="0.2">
      <c r="A10" s="147" t="s">
        <v>22</v>
      </c>
      <c r="B10" s="148" t="s">
        <v>23</v>
      </c>
      <c r="C10" s="151"/>
      <c r="D10" s="149" t="s">
        <v>24</v>
      </c>
    </row>
    <row r="11" spans="1:4" s="12" customFormat="1" ht="26.4" customHeight="1" x14ac:dyDescent="0.2">
      <c r="A11" s="147" t="s">
        <v>25</v>
      </c>
      <c r="B11" s="147" t="s">
        <v>26</v>
      </c>
      <c r="C11" s="148" t="s">
        <v>27</v>
      </c>
      <c r="D11" s="147" t="s">
        <v>28</v>
      </c>
    </row>
    <row r="12" spans="1:4" s="12" customFormat="1" ht="57.6" x14ac:dyDescent="0.2">
      <c r="A12" s="147" t="s">
        <v>29</v>
      </c>
      <c r="B12" s="147" t="s">
        <v>30</v>
      </c>
      <c r="C12" s="148" t="s">
        <v>31</v>
      </c>
      <c r="D12" s="149" t="s">
        <v>32</v>
      </c>
    </row>
    <row r="13" spans="1:4" s="12" customFormat="1" ht="43.2" x14ac:dyDescent="0.2">
      <c r="A13" s="147" t="s">
        <v>33</v>
      </c>
      <c r="B13" s="152" t="s">
        <v>34</v>
      </c>
      <c r="C13" s="148" t="s">
        <v>35</v>
      </c>
      <c r="D13" s="149" t="s">
        <v>36</v>
      </c>
    </row>
    <row r="14" spans="1:4" s="12" customFormat="1" ht="43.2" x14ac:dyDescent="0.2">
      <c r="A14" s="147"/>
      <c r="B14" s="147"/>
      <c r="C14" s="148" t="s">
        <v>37</v>
      </c>
      <c r="D14" s="149" t="s">
        <v>38</v>
      </c>
    </row>
    <row r="15" spans="1:4" s="12" customFormat="1" ht="72" x14ac:dyDescent="0.2">
      <c r="A15" s="147" t="s">
        <v>39</v>
      </c>
      <c r="B15" s="152" t="s">
        <v>40</v>
      </c>
      <c r="C15" s="148" t="s">
        <v>41</v>
      </c>
      <c r="D15" s="149" t="s">
        <v>42</v>
      </c>
    </row>
    <row r="16" spans="1:4" s="12" customFormat="1" ht="43.2" x14ac:dyDescent="0.2">
      <c r="A16" s="147" t="s">
        <v>39</v>
      </c>
      <c r="B16" s="154" t="s">
        <v>274</v>
      </c>
      <c r="C16" s="148" t="s">
        <v>47</v>
      </c>
      <c r="D16" s="149" t="s">
        <v>48</v>
      </c>
    </row>
    <row r="17" spans="1:4" ht="28.8" x14ac:dyDescent="0.2">
      <c r="A17" s="147" t="s">
        <v>43</v>
      </c>
      <c r="B17" s="147" t="s">
        <v>44</v>
      </c>
      <c r="C17" s="148" t="s">
        <v>45</v>
      </c>
      <c r="D17" s="149" t="s">
        <v>46</v>
      </c>
    </row>
  </sheetData>
  <mergeCells count="1">
    <mergeCell ref="A1:D1"/>
  </mergeCells>
  <hyperlinks>
    <hyperlink ref="C6" r:id="rId1" xr:uid="{42538920-0A89-408B-B3E3-95E6C19BCEF8}"/>
    <hyperlink ref="B13" r:id="rId2" display="Vermont Low Income " xr:uid="{5ED9315A-CA58-4CB4-9424-1545E888690F}"/>
    <hyperlink ref="B15" r:id="rId3" xr:uid="{328E7E74-030F-4E1C-A3D1-3D2F750B4B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95503-AF98-497E-89BB-5E384EA4E8B6}">
  <dimension ref="A1"/>
  <sheetViews>
    <sheetView workbookViewId="0">
      <selection activeCell="F24" sqref="F24"/>
    </sheetView>
  </sheetViews>
  <sheetFormatPr defaultRowHeight="10.199999999999999"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L73"/>
  <sheetViews>
    <sheetView tabSelected="1" zoomScale="115" zoomScaleNormal="115" workbookViewId="0">
      <pane xSplit="3" ySplit="1" topLeftCell="D2" activePane="bottomRight" state="frozen"/>
      <selection pane="topRight"/>
      <selection pane="bottomLeft"/>
      <selection pane="bottomRight" activeCell="B1" sqref="B1"/>
    </sheetView>
  </sheetViews>
  <sheetFormatPr defaultRowHeight="10.199999999999999" x14ac:dyDescent="0.2"/>
  <cols>
    <col min="1" max="1" width="3.28515625" bestFit="1" customWidth="1"/>
    <col min="2" max="3" width="47.7109375" style="1" customWidth="1"/>
    <col min="4" max="4" width="15.42578125" customWidth="1"/>
    <col min="5" max="5" width="19.28515625" style="2" customWidth="1"/>
    <col min="6" max="6" width="19.28515625" style="2" hidden="1" customWidth="1"/>
    <col min="7" max="7" width="19.28515625" customWidth="1"/>
    <col min="8" max="8" width="19.28515625" style="2" customWidth="1"/>
    <col min="9" max="9" width="19.28515625" customWidth="1"/>
    <col min="10" max="10" width="42.140625" style="2" customWidth="1"/>
    <col min="11" max="11" width="10.85546875" bestFit="1" customWidth="1"/>
    <col min="12" max="12" width="9.28515625" style="2" customWidth="1"/>
    <col min="13" max="13" width="9.28515625" customWidth="1"/>
  </cols>
  <sheetData>
    <row r="1" spans="1:12" s="10" customFormat="1" ht="55.2" customHeight="1" x14ac:dyDescent="0.2">
      <c r="A1" s="9"/>
      <c r="B1" s="21" t="s">
        <v>49</v>
      </c>
      <c r="C1" s="9" t="s">
        <v>50</v>
      </c>
      <c r="D1" s="33" t="s">
        <v>51</v>
      </c>
      <c r="E1" s="32" t="s">
        <v>52</v>
      </c>
      <c r="F1" s="32" t="s">
        <v>53</v>
      </c>
      <c r="G1" s="33" t="s">
        <v>54</v>
      </c>
      <c r="H1" s="32" t="s">
        <v>55</v>
      </c>
      <c r="I1" s="33" t="s">
        <v>56</v>
      </c>
      <c r="J1" s="32" t="s">
        <v>57</v>
      </c>
      <c r="K1" s="9"/>
      <c r="L1" s="11"/>
    </row>
    <row r="2" spans="1:12" x14ac:dyDescent="0.2">
      <c r="D2" t="s">
        <v>58</v>
      </c>
      <c r="F2" s="2" t="s">
        <v>58</v>
      </c>
      <c r="G2" t="s">
        <v>58</v>
      </c>
      <c r="H2" s="2" t="s">
        <v>58</v>
      </c>
    </row>
    <row r="3" spans="1:12" ht="12.75" customHeight="1" x14ac:dyDescent="0.2">
      <c r="B3" s="8" t="s">
        <v>59</v>
      </c>
      <c r="C3" s="8"/>
      <c r="D3" s="4"/>
      <c r="E3" s="4"/>
      <c r="F3" s="4"/>
      <c r="G3" s="4"/>
      <c r="H3" s="4" t="s">
        <v>58</v>
      </c>
      <c r="I3" s="4"/>
    </row>
    <row r="4" spans="1:12" ht="12.75" customHeight="1" x14ac:dyDescent="0.2">
      <c r="B4" s="8" t="s">
        <v>60</v>
      </c>
      <c r="C4" s="8"/>
      <c r="D4" s="4"/>
      <c r="E4" s="4"/>
      <c r="F4" s="4"/>
      <c r="G4" s="4"/>
      <c r="H4" s="4" t="s">
        <v>58</v>
      </c>
      <c r="I4" s="4"/>
    </row>
    <row r="5" spans="1:12" x14ac:dyDescent="0.2">
      <c r="A5">
        <v>1</v>
      </c>
      <c r="B5" s="8" t="s">
        <v>61</v>
      </c>
      <c r="C5" s="3" t="s">
        <v>62</v>
      </c>
      <c r="D5" s="4">
        <v>298587</v>
      </c>
      <c r="E5" s="37">
        <v>74646.75</v>
      </c>
      <c r="F5" s="4">
        <v>298587</v>
      </c>
      <c r="G5" s="37">
        <v>55221</v>
      </c>
      <c r="H5" s="42">
        <f>+G5-E5</f>
        <v>-19425.75</v>
      </c>
      <c r="I5" s="4">
        <f t="shared" ref="I5:I18" si="0">D5-G5</f>
        <v>243366</v>
      </c>
      <c r="K5" s="29"/>
    </row>
    <row r="6" spans="1:12" x14ac:dyDescent="0.2">
      <c r="A6">
        <v>2</v>
      </c>
      <c r="B6" s="8" t="s">
        <v>63</v>
      </c>
      <c r="C6" s="3" t="s">
        <v>64</v>
      </c>
      <c r="D6" s="4">
        <v>40000</v>
      </c>
      <c r="E6" s="37">
        <v>9999.99</v>
      </c>
      <c r="F6" s="4">
        <v>40000</v>
      </c>
      <c r="G6" s="37">
        <v>12584</v>
      </c>
      <c r="H6" s="37">
        <v>2584.0100000000002</v>
      </c>
      <c r="I6" s="4">
        <f t="shared" si="0"/>
        <v>27416</v>
      </c>
      <c r="K6" s="29"/>
    </row>
    <row r="7" spans="1:12" ht="20.399999999999999" x14ac:dyDescent="0.2">
      <c r="A7">
        <v>3</v>
      </c>
      <c r="B7" s="8" t="s">
        <v>65</v>
      </c>
      <c r="C7" s="13" t="s">
        <v>66</v>
      </c>
      <c r="D7" s="4">
        <v>40000</v>
      </c>
      <c r="E7" s="37">
        <v>9999.99</v>
      </c>
      <c r="F7" s="4">
        <v>40000</v>
      </c>
      <c r="G7" s="37">
        <v>4960.3500000000004</v>
      </c>
      <c r="H7" s="42">
        <v>-5039.6400000000003</v>
      </c>
      <c r="I7" s="4">
        <f t="shared" si="0"/>
        <v>35039.65</v>
      </c>
      <c r="K7" s="29"/>
    </row>
    <row r="8" spans="1:12" x14ac:dyDescent="0.2">
      <c r="A8">
        <v>4</v>
      </c>
      <c r="B8" s="8" t="s">
        <v>67</v>
      </c>
      <c r="C8" s="3" t="s">
        <v>68</v>
      </c>
      <c r="D8" s="4">
        <v>500000</v>
      </c>
      <c r="E8" s="37">
        <v>125000.01</v>
      </c>
      <c r="F8" s="19">
        <v>500000</v>
      </c>
      <c r="G8" s="26">
        <v>0</v>
      </c>
      <c r="H8" s="42">
        <v>-125000.01</v>
      </c>
      <c r="I8" s="4">
        <f t="shared" si="0"/>
        <v>500000</v>
      </c>
      <c r="K8" s="29"/>
    </row>
    <row r="9" spans="1:12" x14ac:dyDescent="0.2">
      <c r="A9">
        <v>5</v>
      </c>
      <c r="B9" s="3" t="s">
        <v>69</v>
      </c>
      <c r="C9" s="3" t="s">
        <v>70</v>
      </c>
      <c r="D9" s="4">
        <v>100000</v>
      </c>
      <c r="E9" s="37">
        <v>24999.99</v>
      </c>
      <c r="F9" s="4">
        <v>100000</v>
      </c>
      <c r="G9" s="37">
        <v>90728</v>
      </c>
      <c r="H9" s="37">
        <v>65728.009999999995</v>
      </c>
      <c r="I9" s="4">
        <f t="shared" si="0"/>
        <v>9272</v>
      </c>
      <c r="K9" s="29"/>
    </row>
    <row r="10" spans="1:12" x14ac:dyDescent="0.2">
      <c r="A10">
        <v>6</v>
      </c>
      <c r="B10" s="8" t="s">
        <v>71</v>
      </c>
      <c r="C10" s="3" t="s">
        <v>70</v>
      </c>
      <c r="D10" s="4">
        <v>500000</v>
      </c>
      <c r="E10" s="37">
        <v>125000.01</v>
      </c>
      <c r="F10" s="4">
        <v>500000</v>
      </c>
      <c r="G10" s="26">
        <v>0</v>
      </c>
      <c r="H10" s="42">
        <v>-125000.01</v>
      </c>
      <c r="I10" s="4">
        <f t="shared" si="0"/>
        <v>500000</v>
      </c>
      <c r="K10" s="29"/>
    </row>
    <row r="11" spans="1:12" x14ac:dyDescent="0.2">
      <c r="A11">
        <v>7</v>
      </c>
      <c r="B11" s="3" t="s">
        <v>72</v>
      </c>
      <c r="C11" s="3" t="s">
        <v>73</v>
      </c>
      <c r="D11" s="4">
        <v>30499</v>
      </c>
      <c r="E11" s="37">
        <v>7624.74</v>
      </c>
      <c r="F11" s="19">
        <v>28000</v>
      </c>
      <c r="G11" s="26">
        <v>0</v>
      </c>
      <c r="H11" s="42">
        <v>-7624.74</v>
      </c>
      <c r="I11" s="4">
        <f t="shared" si="0"/>
        <v>30499</v>
      </c>
      <c r="K11" s="29"/>
    </row>
    <row r="12" spans="1:12" x14ac:dyDescent="0.2">
      <c r="A12">
        <v>8</v>
      </c>
      <c r="B12" s="3" t="s">
        <v>74</v>
      </c>
      <c r="C12" s="3" t="s">
        <v>75</v>
      </c>
      <c r="D12" s="4">
        <v>215000</v>
      </c>
      <c r="E12" s="37">
        <v>53750.01</v>
      </c>
      <c r="F12" s="56">
        <v>275000</v>
      </c>
      <c r="G12" s="26">
        <v>0</v>
      </c>
      <c r="H12" s="42">
        <v>-53750.01</v>
      </c>
      <c r="I12" s="4">
        <f t="shared" si="0"/>
        <v>215000</v>
      </c>
      <c r="K12" s="29"/>
    </row>
    <row r="13" spans="1:12" x14ac:dyDescent="0.2">
      <c r="A13">
        <v>9</v>
      </c>
      <c r="B13" s="3" t="s">
        <v>76</v>
      </c>
      <c r="C13" s="3" t="s">
        <v>73</v>
      </c>
      <c r="D13" s="4">
        <v>12500</v>
      </c>
      <c r="E13" s="37">
        <v>3125.01</v>
      </c>
      <c r="F13" s="4">
        <v>12500</v>
      </c>
      <c r="G13" s="26">
        <v>0</v>
      </c>
      <c r="H13" s="42">
        <v>-3125.01</v>
      </c>
      <c r="I13" s="4">
        <f t="shared" si="0"/>
        <v>12500</v>
      </c>
      <c r="K13" s="29"/>
    </row>
    <row r="14" spans="1:12" x14ac:dyDescent="0.2">
      <c r="A14">
        <v>10</v>
      </c>
      <c r="B14" s="3" t="s">
        <v>77</v>
      </c>
      <c r="C14" s="3" t="s">
        <v>78</v>
      </c>
      <c r="D14" s="4">
        <v>15000</v>
      </c>
      <c r="E14" s="37">
        <v>3750</v>
      </c>
      <c r="F14" s="4">
        <v>15000</v>
      </c>
      <c r="G14" s="26">
        <v>0</v>
      </c>
      <c r="H14" s="42">
        <v>-3750</v>
      </c>
      <c r="I14" s="4">
        <f t="shared" si="0"/>
        <v>15000</v>
      </c>
      <c r="K14" s="29"/>
    </row>
    <row r="15" spans="1:12" x14ac:dyDescent="0.2">
      <c r="A15">
        <v>11</v>
      </c>
      <c r="B15" s="8" t="s">
        <v>79</v>
      </c>
      <c r="C15" s="3" t="s">
        <v>70</v>
      </c>
      <c r="D15" s="4">
        <v>160000</v>
      </c>
      <c r="E15" s="37">
        <v>39999.99</v>
      </c>
      <c r="F15" s="4">
        <v>160000</v>
      </c>
      <c r="G15" s="26">
        <v>0</v>
      </c>
      <c r="H15" s="42">
        <v>-39999.99</v>
      </c>
      <c r="I15" s="4">
        <f t="shared" si="0"/>
        <v>160000</v>
      </c>
      <c r="K15" s="29"/>
    </row>
    <row r="16" spans="1:12" x14ac:dyDescent="0.2">
      <c r="A16">
        <v>12</v>
      </c>
      <c r="B16" s="3" t="s">
        <v>80</v>
      </c>
      <c r="C16" s="3" t="s">
        <v>81</v>
      </c>
      <c r="D16" s="4">
        <v>95827</v>
      </c>
      <c r="E16" s="37">
        <v>23956.74</v>
      </c>
      <c r="F16" s="4">
        <v>95827</v>
      </c>
      <c r="G16" s="37">
        <v>36320</v>
      </c>
      <c r="H16" s="37">
        <v>12363.26</v>
      </c>
      <c r="I16" s="4">
        <f t="shared" si="0"/>
        <v>59507</v>
      </c>
      <c r="K16" s="29"/>
    </row>
    <row r="17" spans="1:12" x14ac:dyDescent="0.2">
      <c r="A17">
        <v>13</v>
      </c>
      <c r="B17" s="3" t="s">
        <v>82</v>
      </c>
      <c r="C17" s="3" t="s">
        <v>83</v>
      </c>
      <c r="D17" s="4">
        <v>108000</v>
      </c>
      <c r="E17" s="37">
        <v>27000</v>
      </c>
      <c r="F17" s="4">
        <v>108000</v>
      </c>
      <c r="G17" s="37">
        <v>48003.15</v>
      </c>
      <c r="H17" s="37">
        <v>21003.15</v>
      </c>
      <c r="I17" s="4">
        <f t="shared" si="0"/>
        <v>59996.85</v>
      </c>
      <c r="K17" s="29"/>
    </row>
    <row r="18" spans="1:12" x14ac:dyDescent="0.2">
      <c r="A18">
        <v>14</v>
      </c>
      <c r="B18" s="3" t="s">
        <v>84</v>
      </c>
      <c r="C18" s="3" t="s">
        <v>83</v>
      </c>
      <c r="D18" s="4">
        <v>10000</v>
      </c>
      <c r="E18" s="37">
        <v>2499.9899999999998</v>
      </c>
      <c r="F18" s="4">
        <v>10000</v>
      </c>
      <c r="G18" s="37">
        <v>2558.9</v>
      </c>
      <c r="H18" s="26">
        <v>58.91</v>
      </c>
      <c r="I18" s="4">
        <f t="shared" si="0"/>
        <v>7441.1</v>
      </c>
      <c r="K18" s="29"/>
    </row>
    <row r="19" spans="1:12" ht="12" x14ac:dyDescent="0.35">
      <c r="A19">
        <v>15</v>
      </c>
      <c r="B19" s="3" t="s">
        <v>85</v>
      </c>
      <c r="C19" s="3" t="s">
        <v>83</v>
      </c>
      <c r="D19" s="34">
        <v>375000</v>
      </c>
      <c r="E19" s="39">
        <v>93750</v>
      </c>
      <c r="F19" s="56">
        <v>293000</v>
      </c>
      <c r="G19" s="38">
        <v>0</v>
      </c>
      <c r="H19" s="43">
        <v>-93750</v>
      </c>
      <c r="I19" s="5">
        <f>D19-G19</f>
        <v>375000</v>
      </c>
      <c r="K19" s="29"/>
    </row>
    <row r="20" spans="1:12" ht="12" x14ac:dyDescent="0.35">
      <c r="A20">
        <v>16</v>
      </c>
      <c r="B20" s="3" t="s">
        <v>86</v>
      </c>
      <c r="C20" s="3" t="s">
        <v>70</v>
      </c>
      <c r="D20" s="19"/>
      <c r="E20" s="19"/>
      <c r="F20" s="22">
        <v>500000</v>
      </c>
      <c r="G20" s="22"/>
      <c r="H20" s="156"/>
      <c r="I20" s="22"/>
      <c r="K20" s="29"/>
    </row>
    <row r="21" spans="1:12" s="162" customFormat="1" ht="18.600000000000001" customHeight="1" x14ac:dyDescent="0.2">
      <c r="A21" s="163">
        <v>17</v>
      </c>
      <c r="B21" s="157" t="s">
        <v>87</v>
      </c>
      <c r="C21" s="157"/>
      <c r="D21" s="158">
        <v>2500413</v>
      </c>
      <c r="E21" s="159">
        <v>625103.22</v>
      </c>
      <c r="F21" s="158">
        <f>SUM(F5:F20)</f>
        <v>2975914</v>
      </c>
      <c r="G21" s="159">
        <v>250375.4</v>
      </c>
      <c r="H21" s="160">
        <v>-374727.82</v>
      </c>
      <c r="I21" s="158">
        <f>D21-G21</f>
        <v>2250037.6</v>
      </c>
      <c r="J21" s="158"/>
      <c r="K21" s="161"/>
      <c r="L21" s="158"/>
    </row>
    <row r="22" spans="1:12" x14ac:dyDescent="0.2">
      <c r="A22">
        <v>18</v>
      </c>
      <c r="B22" s="8" t="s">
        <v>88</v>
      </c>
      <c r="C22" s="8"/>
      <c r="D22" s="4">
        <v>0</v>
      </c>
      <c r="E22" s="4">
        <v>0</v>
      </c>
      <c r="F22" s="4"/>
      <c r="G22" s="4">
        <v>15710.65</v>
      </c>
      <c r="H22" s="4">
        <v>15710.65</v>
      </c>
      <c r="I22" s="4">
        <f>D22-G22</f>
        <v>-15710.65</v>
      </c>
      <c r="K22" s="29"/>
    </row>
    <row r="23" spans="1:12" x14ac:dyDescent="0.2">
      <c r="A23">
        <v>19</v>
      </c>
      <c r="B23" s="8" t="s">
        <v>89</v>
      </c>
      <c r="C23" s="8"/>
      <c r="D23" s="4"/>
      <c r="E23" s="4"/>
      <c r="F23" s="4"/>
      <c r="G23" s="4"/>
      <c r="H23" s="4"/>
      <c r="I23" s="4"/>
      <c r="K23" s="29"/>
    </row>
    <row r="24" spans="1:12" x14ac:dyDescent="0.2">
      <c r="A24">
        <v>20</v>
      </c>
      <c r="B24" s="3" t="s">
        <v>90</v>
      </c>
      <c r="C24" s="3"/>
      <c r="D24" s="4">
        <v>9000</v>
      </c>
      <c r="E24" s="4">
        <v>2250</v>
      </c>
      <c r="F24" s="4"/>
      <c r="G24" s="4">
        <v>1000</v>
      </c>
      <c r="H24" s="4">
        <v>-1250</v>
      </c>
      <c r="I24" s="4">
        <f>D24-G24</f>
        <v>8000</v>
      </c>
      <c r="K24" s="29"/>
    </row>
    <row r="25" spans="1:12" ht="12.75" customHeight="1" x14ac:dyDescent="0.2">
      <c r="A25">
        <v>21</v>
      </c>
      <c r="B25" s="3" t="s">
        <v>91</v>
      </c>
      <c r="C25" s="3"/>
      <c r="D25" s="5">
        <v>225000</v>
      </c>
      <c r="E25" s="5">
        <v>56250</v>
      </c>
      <c r="F25" s="5"/>
      <c r="G25" s="5">
        <v>18613</v>
      </c>
      <c r="H25" s="5">
        <v>-37637</v>
      </c>
      <c r="I25" s="5">
        <f>D25-G25</f>
        <v>206387</v>
      </c>
      <c r="K25" s="29"/>
    </row>
    <row r="26" spans="1:12" ht="12.75" customHeight="1" x14ac:dyDescent="0.2">
      <c r="A26">
        <v>22</v>
      </c>
      <c r="B26" s="3" t="s">
        <v>92</v>
      </c>
      <c r="C26" s="3"/>
      <c r="D26" s="4">
        <v>234000</v>
      </c>
      <c r="E26" s="4">
        <v>58500</v>
      </c>
      <c r="F26" s="4"/>
      <c r="G26" s="4">
        <v>19613</v>
      </c>
      <c r="H26" s="4">
        <v>-38887</v>
      </c>
      <c r="I26" s="4">
        <f>D26-G26</f>
        <v>214387</v>
      </c>
      <c r="K26" s="29"/>
    </row>
    <row r="27" spans="1:12" ht="12.75" customHeight="1" x14ac:dyDescent="0.2">
      <c r="A27">
        <v>23</v>
      </c>
      <c r="B27" s="8" t="s">
        <v>93</v>
      </c>
      <c r="C27" s="8"/>
      <c r="D27" s="4">
        <v>155506</v>
      </c>
      <c r="E27" s="4">
        <v>38876.519999999997</v>
      </c>
      <c r="F27" s="4"/>
      <c r="G27" s="4">
        <v>28534.28</v>
      </c>
      <c r="H27" s="4">
        <v>-10342.24</v>
      </c>
      <c r="I27" s="4">
        <f>D27-G27</f>
        <v>126971.72</v>
      </c>
      <c r="K27" s="29"/>
    </row>
    <row r="28" spans="1:12" ht="12.75" customHeight="1" x14ac:dyDescent="0.2">
      <c r="A28">
        <v>24</v>
      </c>
      <c r="B28" s="8" t="s">
        <v>94</v>
      </c>
      <c r="C28" s="8"/>
      <c r="D28" s="4"/>
      <c r="E28" s="4"/>
      <c r="F28" s="4"/>
      <c r="G28" s="4"/>
      <c r="H28" s="4"/>
      <c r="I28" s="4"/>
      <c r="K28" s="29"/>
    </row>
    <row r="29" spans="1:12" ht="20.399999999999999" x14ac:dyDescent="0.2">
      <c r="A29">
        <v>25</v>
      </c>
      <c r="B29" s="3" t="s">
        <v>95</v>
      </c>
      <c r="C29" s="13" t="s">
        <v>96</v>
      </c>
      <c r="D29" s="5">
        <v>34340</v>
      </c>
      <c r="E29" s="5">
        <v>8585.01</v>
      </c>
      <c r="F29" s="5"/>
      <c r="G29" s="5">
        <v>20402.650000000001</v>
      </c>
      <c r="H29" s="5">
        <v>11817.64</v>
      </c>
      <c r="I29" s="5">
        <f t="shared" ref="I29:I36" si="1">D29-G29</f>
        <v>13937.349999999999</v>
      </c>
      <c r="K29" s="29"/>
    </row>
    <row r="30" spans="1:12" ht="12.75" customHeight="1" x14ac:dyDescent="0.2">
      <c r="A30">
        <v>26</v>
      </c>
      <c r="B30" s="14" t="s">
        <v>97</v>
      </c>
      <c r="C30" s="14" t="s">
        <v>98</v>
      </c>
      <c r="D30" s="4">
        <v>34340</v>
      </c>
      <c r="E30" s="4">
        <v>8585.01</v>
      </c>
      <c r="F30" s="4"/>
      <c r="G30" s="4">
        <v>20402.650000000001</v>
      </c>
      <c r="H30" s="4">
        <v>11817.64</v>
      </c>
      <c r="I30" s="4">
        <f t="shared" si="1"/>
        <v>13937.349999999999</v>
      </c>
      <c r="K30" s="29"/>
    </row>
    <row r="31" spans="1:12" ht="20.399999999999999" x14ac:dyDescent="0.2">
      <c r="A31">
        <v>27</v>
      </c>
      <c r="B31" s="8" t="s">
        <v>99</v>
      </c>
      <c r="C31" s="13" t="s">
        <v>100</v>
      </c>
      <c r="D31" s="4">
        <v>18009</v>
      </c>
      <c r="E31" s="4">
        <v>4502.25</v>
      </c>
      <c r="F31" s="4"/>
      <c r="G31" s="4">
        <v>4699</v>
      </c>
      <c r="H31" s="4">
        <v>196.75</v>
      </c>
      <c r="I31" s="4">
        <f t="shared" si="1"/>
        <v>13310</v>
      </c>
      <c r="K31" s="29"/>
    </row>
    <row r="32" spans="1:12" ht="12.75" customHeight="1" x14ac:dyDescent="0.2">
      <c r="A32">
        <v>28</v>
      </c>
      <c r="B32" s="8" t="s">
        <v>101</v>
      </c>
      <c r="C32" s="3" t="s">
        <v>102</v>
      </c>
      <c r="D32" s="4">
        <v>124792</v>
      </c>
      <c r="E32" s="4">
        <v>31197.99</v>
      </c>
      <c r="F32" s="4"/>
      <c r="G32" s="4">
        <v>18818</v>
      </c>
      <c r="H32" s="4">
        <v>-12379.99</v>
      </c>
      <c r="I32" s="4">
        <f t="shared" si="1"/>
        <v>105974</v>
      </c>
      <c r="K32" s="29"/>
    </row>
    <row r="33" spans="1:12" ht="12.75" customHeight="1" x14ac:dyDescent="0.2">
      <c r="A33">
        <v>29</v>
      </c>
      <c r="B33" s="8" t="s">
        <v>103</v>
      </c>
      <c r="C33" s="3"/>
      <c r="D33" s="4">
        <v>1030</v>
      </c>
      <c r="E33" s="4">
        <v>257.49</v>
      </c>
      <c r="F33" s="4"/>
      <c r="G33" s="4">
        <v>393.55</v>
      </c>
      <c r="H33" s="4">
        <v>136.06</v>
      </c>
      <c r="I33" s="4">
        <f t="shared" si="1"/>
        <v>636.45000000000005</v>
      </c>
      <c r="K33" s="29"/>
    </row>
    <row r="34" spans="1:12" ht="12.75" customHeight="1" x14ac:dyDescent="0.2">
      <c r="A34">
        <v>30</v>
      </c>
      <c r="B34" s="8" t="s">
        <v>104</v>
      </c>
      <c r="C34" s="3" t="s">
        <v>105</v>
      </c>
      <c r="D34" s="4">
        <v>350966</v>
      </c>
      <c r="E34" s="4">
        <v>87741.51</v>
      </c>
      <c r="F34" s="4"/>
      <c r="G34" s="4">
        <v>101215.73</v>
      </c>
      <c r="H34" s="4">
        <v>13474.22</v>
      </c>
      <c r="I34" s="4">
        <f t="shared" si="1"/>
        <v>249750.27000000002</v>
      </c>
      <c r="K34" s="29"/>
    </row>
    <row r="35" spans="1:12" ht="12.75" customHeight="1" x14ac:dyDescent="0.2">
      <c r="A35">
        <v>31</v>
      </c>
      <c r="B35" s="15" t="s">
        <v>106</v>
      </c>
      <c r="C35" s="14"/>
      <c r="D35" s="5">
        <v>56372</v>
      </c>
      <c r="E35" s="5">
        <v>14093.01</v>
      </c>
      <c r="F35" s="5"/>
      <c r="G35" s="5">
        <v>14037</v>
      </c>
      <c r="H35" s="5">
        <v>-56.01</v>
      </c>
      <c r="I35" s="5">
        <f t="shared" si="1"/>
        <v>42335</v>
      </c>
      <c r="J35" s="2" t="s">
        <v>58</v>
      </c>
      <c r="K35" s="29"/>
    </row>
    <row r="36" spans="1:12" s="110" customFormat="1" ht="12.75" customHeight="1" x14ac:dyDescent="0.2">
      <c r="A36" s="166">
        <v>32</v>
      </c>
      <c r="B36" s="167" t="s">
        <v>107</v>
      </c>
      <c r="C36" s="168"/>
      <c r="D36" s="169">
        <v>3475428</v>
      </c>
      <c r="E36" s="169">
        <v>868857</v>
      </c>
      <c r="F36" s="169"/>
      <c r="G36" s="169">
        <v>473799.26</v>
      </c>
      <c r="H36" s="169">
        <v>-395057.74</v>
      </c>
      <c r="I36" s="169">
        <f t="shared" si="1"/>
        <v>3001628.74</v>
      </c>
      <c r="J36" s="170" t="s">
        <v>58</v>
      </c>
      <c r="K36" s="165"/>
      <c r="L36" s="164"/>
    </row>
    <row r="37" spans="1:12" ht="12" x14ac:dyDescent="0.2">
      <c r="A37">
        <v>33</v>
      </c>
      <c r="B37" s="3"/>
      <c r="C37" s="3"/>
      <c r="D37" s="4"/>
      <c r="E37" s="4"/>
      <c r="F37" s="4"/>
      <c r="G37" s="4"/>
      <c r="H37" s="4"/>
      <c r="I37" s="5"/>
    </row>
    <row r="38" spans="1:12" ht="22.2" customHeight="1" x14ac:dyDescent="0.2">
      <c r="A38">
        <v>34</v>
      </c>
      <c r="B38" s="8" t="s">
        <v>108</v>
      </c>
      <c r="C38" s="171" t="s">
        <v>275</v>
      </c>
      <c r="D38" s="4"/>
      <c r="E38" s="4"/>
      <c r="F38" s="4"/>
      <c r="G38" s="4"/>
      <c r="H38" s="4"/>
      <c r="I38" s="5"/>
    </row>
    <row r="39" spans="1:12" ht="12.75" customHeight="1" x14ac:dyDescent="0.2">
      <c r="A39">
        <v>35</v>
      </c>
      <c r="B39" s="3" t="s">
        <v>109</v>
      </c>
      <c r="C39" s="3"/>
      <c r="D39" s="4">
        <v>1617628</v>
      </c>
      <c r="E39" s="4">
        <v>404406.96</v>
      </c>
      <c r="F39" s="4"/>
      <c r="G39" s="4">
        <v>343174.45</v>
      </c>
      <c r="H39" s="4">
        <v>61232.51</v>
      </c>
      <c r="I39" s="4">
        <f>D39-G39</f>
        <v>1274453.55</v>
      </c>
    </row>
    <row r="40" spans="1:12" ht="12.75" customHeight="1" x14ac:dyDescent="0.2">
      <c r="A40">
        <v>36</v>
      </c>
      <c r="B40" s="3" t="s">
        <v>110</v>
      </c>
      <c r="C40" s="3"/>
      <c r="D40" s="4"/>
      <c r="E40" s="4"/>
      <c r="F40" s="4"/>
      <c r="G40" s="4"/>
      <c r="H40" s="4"/>
      <c r="I40" s="4"/>
    </row>
    <row r="41" spans="1:12" ht="12.75" customHeight="1" x14ac:dyDescent="0.2">
      <c r="A41">
        <v>37</v>
      </c>
      <c r="B41" s="3" t="s">
        <v>111</v>
      </c>
      <c r="C41" s="3"/>
      <c r="D41" s="4">
        <v>23255</v>
      </c>
      <c r="E41" s="4">
        <v>5813.76</v>
      </c>
      <c r="F41" s="4"/>
      <c r="G41" s="4">
        <v>2664.77</v>
      </c>
      <c r="H41" s="4">
        <v>3148.99</v>
      </c>
      <c r="I41" s="4">
        <f t="shared" ref="I41:I71" si="2">D41-G41</f>
        <v>20590.23</v>
      </c>
    </row>
    <row r="42" spans="1:12" ht="12.75" customHeight="1" x14ac:dyDescent="0.2">
      <c r="A42">
        <v>38</v>
      </c>
      <c r="B42" s="3" t="s">
        <v>112</v>
      </c>
      <c r="C42" s="3"/>
      <c r="D42" s="4">
        <v>70</v>
      </c>
      <c r="E42" s="4">
        <v>17.489999999999998</v>
      </c>
      <c r="F42" s="4"/>
      <c r="G42" s="4">
        <v>345</v>
      </c>
      <c r="H42" s="4">
        <v>-327.51</v>
      </c>
      <c r="I42" s="4">
        <f t="shared" si="2"/>
        <v>-275</v>
      </c>
    </row>
    <row r="43" spans="1:12" ht="12.75" customHeight="1" x14ac:dyDescent="0.2">
      <c r="A43">
        <v>39</v>
      </c>
      <c r="B43" s="3" t="s">
        <v>113</v>
      </c>
      <c r="C43" s="3"/>
      <c r="D43" s="4">
        <v>75</v>
      </c>
      <c r="E43" s="4">
        <v>18.75</v>
      </c>
      <c r="F43" s="4"/>
      <c r="G43" s="4">
        <v>75</v>
      </c>
      <c r="H43" s="4">
        <v>-56.25</v>
      </c>
      <c r="I43" s="4">
        <f t="shared" si="2"/>
        <v>0</v>
      </c>
    </row>
    <row r="44" spans="1:12" ht="12.75" customHeight="1" x14ac:dyDescent="0.2">
      <c r="A44">
        <v>40</v>
      </c>
      <c r="B44" s="3" t="s">
        <v>114</v>
      </c>
      <c r="C44" s="3"/>
      <c r="D44" s="4">
        <v>1500</v>
      </c>
      <c r="E44" s="4">
        <v>375</v>
      </c>
      <c r="F44" s="4"/>
      <c r="G44" s="4">
        <v>0</v>
      </c>
      <c r="H44" s="4">
        <v>375</v>
      </c>
      <c r="I44" s="4">
        <f t="shared" si="2"/>
        <v>1500</v>
      </c>
    </row>
    <row r="45" spans="1:12" ht="12.75" customHeight="1" x14ac:dyDescent="0.2">
      <c r="A45">
        <v>41</v>
      </c>
      <c r="B45" s="3" t="s">
        <v>115</v>
      </c>
      <c r="C45" s="3"/>
      <c r="D45" s="4">
        <v>0</v>
      </c>
      <c r="E45" s="4">
        <v>0</v>
      </c>
      <c r="F45" s="4"/>
      <c r="G45" s="4">
        <v>278.75</v>
      </c>
      <c r="H45" s="4">
        <v>-278.75</v>
      </c>
      <c r="I45" s="4">
        <f t="shared" si="2"/>
        <v>-278.75</v>
      </c>
    </row>
    <row r="46" spans="1:12" ht="12.75" customHeight="1" x14ac:dyDescent="0.2">
      <c r="A46">
        <v>42</v>
      </c>
      <c r="B46" s="3" t="s">
        <v>116</v>
      </c>
      <c r="C46" s="3"/>
      <c r="D46" s="5">
        <v>3540</v>
      </c>
      <c r="E46" s="5">
        <v>885</v>
      </c>
      <c r="F46" s="5"/>
      <c r="G46" s="5">
        <v>960</v>
      </c>
      <c r="H46" s="5">
        <v>-75</v>
      </c>
      <c r="I46" s="5">
        <f t="shared" si="2"/>
        <v>2580</v>
      </c>
    </row>
    <row r="47" spans="1:12" ht="12.75" customHeight="1" x14ac:dyDescent="0.2">
      <c r="A47">
        <v>43</v>
      </c>
      <c r="B47" s="3" t="s">
        <v>117</v>
      </c>
      <c r="C47" s="3"/>
      <c r="D47" s="4">
        <v>28440</v>
      </c>
      <c r="E47" s="4">
        <v>7110</v>
      </c>
      <c r="F47" s="4"/>
      <c r="G47" s="4">
        <v>4323.5200000000004</v>
      </c>
      <c r="H47" s="4">
        <v>2786.48</v>
      </c>
      <c r="I47" s="4">
        <f t="shared" si="2"/>
        <v>24116.48</v>
      </c>
    </row>
    <row r="48" spans="1:12" ht="30.6" x14ac:dyDescent="0.2">
      <c r="A48">
        <v>44</v>
      </c>
      <c r="B48" s="8" t="s">
        <v>118</v>
      </c>
      <c r="C48" s="20" t="s">
        <v>119</v>
      </c>
      <c r="D48" s="4">
        <v>1036607</v>
      </c>
      <c r="E48" s="4">
        <v>259151.73</v>
      </c>
      <c r="F48" s="4"/>
      <c r="G48" s="4">
        <v>56395.99</v>
      </c>
      <c r="H48" s="4">
        <v>202755.74</v>
      </c>
      <c r="I48" s="4">
        <f t="shared" si="2"/>
        <v>980211.01</v>
      </c>
    </row>
    <row r="49" spans="1:9" ht="12.75" customHeight="1" x14ac:dyDescent="0.2">
      <c r="A49">
        <v>45</v>
      </c>
      <c r="B49" s="3" t="s">
        <v>120</v>
      </c>
      <c r="C49" s="3"/>
      <c r="D49" s="4">
        <v>140000</v>
      </c>
      <c r="E49" s="4">
        <v>35000.01</v>
      </c>
      <c r="F49" s="4"/>
      <c r="G49" s="4">
        <v>26662</v>
      </c>
      <c r="H49" s="4">
        <v>8338.01</v>
      </c>
      <c r="I49" s="4">
        <f t="shared" si="2"/>
        <v>113338</v>
      </c>
    </row>
    <row r="50" spans="1:9" ht="40.799999999999997" x14ac:dyDescent="0.2">
      <c r="A50">
        <v>46</v>
      </c>
      <c r="B50" s="8" t="s">
        <v>121</v>
      </c>
      <c r="C50" s="20" t="s">
        <v>122</v>
      </c>
      <c r="D50" s="4">
        <v>232350</v>
      </c>
      <c r="E50" s="4">
        <v>58087.5</v>
      </c>
      <c r="F50" s="4"/>
      <c r="G50" s="4">
        <v>57564.5</v>
      </c>
      <c r="H50" s="4">
        <v>523</v>
      </c>
      <c r="I50" s="4">
        <f t="shared" si="2"/>
        <v>174785.5</v>
      </c>
    </row>
    <row r="51" spans="1:9" ht="12.75" customHeight="1" x14ac:dyDescent="0.2">
      <c r="A51">
        <v>47</v>
      </c>
      <c r="B51" s="3" t="s">
        <v>123</v>
      </c>
      <c r="C51" s="3"/>
      <c r="D51" s="4">
        <v>25500</v>
      </c>
      <c r="E51" s="4">
        <v>6375.03</v>
      </c>
      <c r="F51" s="4"/>
      <c r="G51" s="4">
        <v>0</v>
      </c>
      <c r="H51" s="4">
        <v>6375.03</v>
      </c>
      <c r="I51" s="4">
        <f t="shared" si="2"/>
        <v>25500</v>
      </c>
    </row>
    <row r="52" spans="1:9" ht="12.75" customHeight="1" x14ac:dyDescent="0.2">
      <c r="A52">
        <v>48</v>
      </c>
      <c r="B52" s="3" t="s">
        <v>124</v>
      </c>
      <c r="C52" s="3"/>
      <c r="D52" s="4">
        <v>24250</v>
      </c>
      <c r="E52" s="4">
        <v>6062.49</v>
      </c>
      <c r="F52" s="4"/>
      <c r="G52" s="4">
        <v>1503.96</v>
      </c>
      <c r="H52" s="4">
        <v>4558.53</v>
      </c>
      <c r="I52" s="4">
        <f t="shared" si="2"/>
        <v>22746.04</v>
      </c>
    </row>
    <row r="53" spans="1:9" ht="12.75" customHeight="1" x14ac:dyDescent="0.2">
      <c r="A53">
        <v>49</v>
      </c>
      <c r="B53" s="3" t="s">
        <v>125</v>
      </c>
      <c r="C53" s="3"/>
      <c r="D53" s="4">
        <v>3977</v>
      </c>
      <c r="E53" s="4">
        <v>994.29</v>
      </c>
      <c r="F53" s="4"/>
      <c r="G53" s="4">
        <v>617.26</v>
      </c>
      <c r="H53" s="4">
        <v>377.03</v>
      </c>
      <c r="I53" s="4">
        <f t="shared" si="2"/>
        <v>3359.74</v>
      </c>
    </row>
    <row r="54" spans="1:9" x14ac:dyDescent="0.2">
      <c r="A54">
        <v>50</v>
      </c>
      <c r="B54" s="3" t="s">
        <v>126</v>
      </c>
      <c r="C54" s="3"/>
      <c r="D54" s="4">
        <v>10500</v>
      </c>
      <c r="E54" s="4">
        <v>2625</v>
      </c>
      <c r="F54" s="4"/>
      <c r="G54" s="4">
        <v>2675.54</v>
      </c>
      <c r="H54" s="4">
        <v>-50.54</v>
      </c>
      <c r="I54" s="4">
        <f t="shared" si="2"/>
        <v>7824.46</v>
      </c>
    </row>
    <row r="55" spans="1:9" ht="12.75" customHeight="1" x14ac:dyDescent="0.2">
      <c r="A55">
        <v>51</v>
      </c>
      <c r="B55" s="3" t="s">
        <v>127</v>
      </c>
      <c r="C55" s="3"/>
      <c r="D55" s="4">
        <v>23373</v>
      </c>
      <c r="E55" s="4">
        <v>5843.25</v>
      </c>
      <c r="F55" s="4"/>
      <c r="G55" s="4">
        <v>5776.76</v>
      </c>
      <c r="H55" s="4">
        <v>66.489999999999995</v>
      </c>
      <c r="I55" s="4">
        <f t="shared" si="2"/>
        <v>17596.239999999998</v>
      </c>
    </row>
    <row r="56" spans="1:9" ht="12.75" customHeight="1" x14ac:dyDescent="0.2">
      <c r="A56">
        <v>52</v>
      </c>
      <c r="B56" s="3" t="s">
        <v>128</v>
      </c>
      <c r="C56" s="3"/>
      <c r="D56" s="4">
        <v>28000</v>
      </c>
      <c r="E56" s="4">
        <v>7000.02</v>
      </c>
      <c r="F56" s="4"/>
      <c r="G56" s="4">
        <v>7466.44</v>
      </c>
      <c r="H56" s="4">
        <v>-466.42</v>
      </c>
      <c r="I56" s="4">
        <f t="shared" si="2"/>
        <v>20533.560000000001</v>
      </c>
    </row>
    <row r="57" spans="1:9" ht="12.75" customHeight="1" x14ac:dyDescent="0.2">
      <c r="A57">
        <v>53</v>
      </c>
      <c r="B57" s="3" t="s">
        <v>129</v>
      </c>
      <c r="C57" s="3"/>
      <c r="D57" s="4">
        <v>36396</v>
      </c>
      <c r="E57" s="4">
        <v>9099.06</v>
      </c>
      <c r="F57" s="4"/>
      <c r="G57" s="4">
        <v>8751</v>
      </c>
      <c r="H57" s="4">
        <v>348.06</v>
      </c>
      <c r="I57" s="4">
        <f t="shared" si="2"/>
        <v>27645</v>
      </c>
    </row>
    <row r="58" spans="1:9" ht="12.75" customHeight="1" x14ac:dyDescent="0.2">
      <c r="A58">
        <v>54</v>
      </c>
      <c r="B58" s="3" t="s">
        <v>130</v>
      </c>
      <c r="C58" s="3"/>
      <c r="D58" s="4">
        <v>8200</v>
      </c>
      <c r="E58" s="4">
        <v>2049.9899999999998</v>
      </c>
      <c r="F58" s="4"/>
      <c r="G58" s="4">
        <v>0</v>
      </c>
      <c r="H58" s="4">
        <v>2049.9899999999998</v>
      </c>
      <c r="I58" s="4">
        <f t="shared" si="2"/>
        <v>8200</v>
      </c>
    </row>
    <row r="59" spans="1:9" ht="12.75" customHeight="1" x14ac:dyDescent="0.2">
      <c r="A59">
        <v>55</v>
      </c>
      <c r="B59" s="3" t="s">
        <v>131</v>
      </c>
      <c r="C59" s="3"/>
      <c r="D59" s="4">
        <v>34360</v>
      </c>
      <c r="E59" s="4">
        <v>8590.02</v>
      </c>
      <c r="F59" s="4"/>
      <c r="G59" s="4">
        <v>2790.55</v>
      </c>
      <c r="H59" s="4">
        <v>5799.47</v>
      </c>
      <c r="I59" s="4">
        <f t="shared" si="2"/>
        <v>31569.45</v>
      </c>
    </row>
    <row r="60" spans="1:9" ht="12.75" customHeight="1" x14ac:dyDescent="0.2">
      <c r="A60">
        <v>56</v>
      </c>
      <c r="B60" s="3" t="s">
        <v>132</v>
      </c>
      <c r="C60" s="3"/>
      <c r="D60" s="4">
        <v>6959</v>
      </c>
      <c r="E60" s="4">
        <v>1739.76</v>
      </c>
      <c r="F60" s="4"/>
      <c r="G60" s="4">
        <v>1721.07</v>
      </c>
      <c r="H60" s="4">
        <v>18.690000000000001</v>
      </c>
      <c r="I60" s="4">
        <f t="shared" si="2"/>
        <v>5237.93</v>
      </c>
    </row>
    <row r="61" spans="1:9" ht="12.75" customHeight="1" x14ac:dyDescent="0.2">
      <c r="A61">
        <v>57</v>
      </c>
      <c r="B61" s="3" t="s">
        <v>133</v>
      </c>
      <c r="C61" s="3"/>
      <c r="D61" s="4">
        <v>28000</v>
      </c>
      <c r="E61" s="4">
        <v>7000.02</v>
      </c>
      <c r="F61" s="4"/>
      <c r="G61" s="4">
        <v>4691.4399999999996</v>
      </c>
      <c r="H61" s="4">
        <v>2308.58</v>
      </c>
      <c r="I61" s="4">
        <f t="shared" si="2"/>
        <v>23308.560000000001</v>
      </c>
    </row>
    <row r="62" spans="1:9" ht="12.75" customHeight="1" x14ac:dyDescent="0.2">
      <c r="A62">
        <v>58</v>
      </c>
      <c r="B62" s="3" t="s">
        <v>134</v>
      </c>
      <c r="C62" s="3"/>
      <c r="D62" s="4">
        <v>11112</v>
      </c>
      <c r="E62" s="4">
        <v>2778</v>
      </c>
      <c r="F62" s="4"/>
      <c r="G62" s="4">
        <v>3146.1</v>
      </c>
      <c r="H62" s="4">
        <v>-368.1</v>
      </c>
      <c r="I62" s="4">
        <f t="shared" si="2"/>
        <v>7965.9</v>
      </c>
    </row>
    <row r="63" spans="1:9" ht="12.75" customHeight="1" x14ac:dyDescent="0.2">
      <c r="A63">
        <v>59</v>
      </c>
      <c r="B63" s="3" t="s">
        <v>135</v>
      </c>
      <c r="C63" s="3"/>
      <c r="D63" s="4">
        <v>10541</v>
      </c>
      <c r="E63" s="4">
        <v>2635.2</v>
      </c>
      <c r="F63" s="4"/>
      <c r="G63" s="4">
        <v>1977.97</v>
      </c>
      <c r="H63" s="4">
        <v>657.23</v>
      </c>
      <c r="I63" s="4">
        <f t="shared" si="2"/>
        <v>8563.0300000000007</v>
      </c>
    </row>
    <row r="64" spans="1:9" ht="12.75" customHeight="1" x14ac:dyDescent="0.2">
      <c r="A64">
        <v>60</v>
      </c>
      <c r="B64" s="3" t="s">
        <v>136</v>
      </c>
      <c r="C64" s="3"/>
      <c r="D64" s="4">
        <v>29992</v>
      </c>
      <c r="E64" s="4">
        <v>7498.02</v>
      </c>
      <c r="F64" s="4"/>
      <c r="G64" s="4">
        <v>11004.46</v>
      </c>
      <c r="H64" s="4">
        <v>-3506.44</v>
      </c>
      <c r="I64" s="4">
        <f t="shared" si="2"/>
        <v>18987.54</v>
      </c>
    </row>
    <row r="65" spans="1:12" ht="12.75" customHeight="1" x14ac:dyDescent="0.2">
      <c r="A65">
        <v>61</v>
      </c>
      <c r="B65" s="3" t="s">
        <v>137</v>
      </c>
      <c r="C65" s="3"/>
      <c r="D65" s="4">
        <v>11301</v>
      </c>
      <c r="E65" s="4">
        <v>2825.25</v>
      </c>
      <c r="F65" s="4"/>
      <c r="G65" s="4">
        <v>2166.62</v>
      </c>
      <c r="H65" s="4">
        <v>658.63</v>
      </c>
      <c r="I65" s="4">
        <f t="shared" si="2"/>
        <v>9134.380000000001</v>
      </c>
    </row>
    <row r="66" spans="1:12" ht="12.75" customHeight="1" x14ac:dyDescent="0.2">
      <c r="A66">
        <v>62</v>
      </c>
      <c r="B66" s="3" t="s">
        <v>138</v>
      </c>
      <c r="C66" s="3"/>
      <c r="D66" s="4">
        <v>13045</v>
      </c>
      <c r="E66" s="4">
        <v>3261.27</v>
      </c>
      <c r="F66" s="4"/>
      <c r="G66" s="4">
        <v>2445.64</v>
      </c>
      <c r="H66" s="4">
        <v>815.63</v>
      </c>
      <c r="I66" s="4">
        <f t="shared" si="2"/>
        <v>10599.36</v>
      </c>
    </row>
    <row r="67" spans="1:12" ht="12.75" customHeight="1" x14ac:dyDescent="0.2">
      <c r="A67">
        <v>63</v>
      </c>
      <c r="B67" s="3" t="s">
        <v>139</v>
      </c>
      <c r="C67" s="3"/>
      <c r="D67" s="4">
        <v>7650</v>
      </c>
      <c r="E67" s="4">
        <v>1912.5</v>
      </c>
      <c r="F67" s="4"/>
      <c r="G67" s="4">
        <v>1490.04</v>
      </c>
      <c r="H67" s="4">
        <v>422.46</v>
      </c>
      <c r="I67" s="4">
        <f t="shared" si="2"/>
        <v>6159.96</v>
      </c>
    </row>
    <row r="68" spans="1:12" ht="12.75" customHeight="1" x14ac:dyDescent="0.2">
      <c r="A68">
        <v>64</v>
      </c>
      <c r="B68" s="3" t="s">
        <v>140</v>
      </c>
      <c r="C68" s="3"/>
      <c r="D68" s="4">
        <v>13610</v>
      </c>
      <c r="E68" s="4">
        <v>3402.54</v>
      </c>
      <c r="F68" s="4"/>
      <c r="G68" s="4">
        <v>6482.7</v>
      </c>
      <c r="H68" s="4">
        <v>-3080.16</v>
      </c>
      <c r="I68" s="4">
        <f t="shared" si="2"/>
        <v>7127.3</v>
      </c>
    </row>
    <row r="69" spans="1:12" ht="12.75" customHeight="1" x14ac:dyDescent="0.2">
      <c r="A69">
        <v>65</v>
      </c>
      <c r="B69" s="3" t="s">
        <v>141</v>
      </c>
      <c r="C69" s="3"/>
      <c r="D69" s="4">
        <v>1550</v>
      </c>
      <c r="E69" s="4">
        <v>387.51</v>
      </c>
      <c r="F69" s="4"/>
      <c r="G69" s="4">
        <v>1463.92</v>
      </c>
      <c r="H69" s="4">
        <v>-1076.4100000000001</v>
      </c>
      <c r="I69" s="4">
        <f t="shared" si="2"/>
        <v>86.079999999999927</v>
      </c>
    </row>
    <row r="70" spans="1:12" ht="12.75" customHeight="1" x14ac:dyDescent="0.2">
      <c r="A70">
        <v>66</v>
      </c>
      <c r="B70" s="3" t="s">
        <v>142</v>
      </c>
      <c r="C70" s="3"/>
      <c r="D70" s="5">
        <v>-99</v>
      </c>
      <c r="E70" s="5">
        <v>-24.78</v>
      </c>
      <c r="F70" s="5"/>
      <c r="G70" s="5">
        <v>0</v>
      </c>
      <c r="H70" s="5">
        <v>-24.78</v>
      </c>
      <c r="I70" s="5">
        <f t="shared" si="2"/>
        <v>-99</v>
      </c>
    </row>
    <row r="71" spans="1:12" ht="12.75" customHeight="1" x14ac:dyDescent="0.2">
      <c r="A71">
        <v>67</v>
      </c>
      <c r="B71" s="3" t="s">
        <v>143</v>
      </c>
      <c r="C71" s="3"/>
      <c r="D71" s="5">
        <v>3383242</v>
      </c>
      <c r="E71" s="5">
        <v>845810.64</v>
      </c>
      <c r="F71" s="5"/>
      <c r="G71" s="5">
        <v>554291.93000000005</v>
      </c>
      <c r="H71" s="5">
        <v>291518.71000000002</v>
      </c>
      <c r="I71" s="5">
        <f t="shared" si="2"/>
        <v>2828950.07</v>
      </c>
    </row>
    <row r="72" spans="1:12" x14ac:dyDescent="0.2">
      <c r="A72">
        <v>68</v>
      </c>
      <c r="B72" s="3"/>
      <c r="C72" s="3"/>
      <c r="D72" s="4"/>
      <c r="E72" s="4"/>
      <c r="F72" s="4"/>
      <c r="G72" s="4"/>
      <c r="H72" s="4"/>
      <c r="I72" s="4"/>
    </row>
    <row r="73" spans="1:12" s="18" customFormat="1" ht="12" x14ac:dyDescent="0.2">
      <c r="A73">
        <v>69</v>
      </c>
      <c r="B73" s="8" t="s">
        <v>144</v>
      </c>
      <c r="C73" s="8"/>
      <c r="D73" s="16">
        <v>92186</v>
      </c>
      <c r="E73" s="16">
        <v>23046.36</v>
      </c>
      <c r="F73" s="16"/>
      <c r="G73" s="16">
        <v>-80492.67</v>
      </c>
      <c r="H73" s="16">
        <v>-103539.03</v>
      </c>
      <c r="I73" s="16">
        <f>D73-G73</f>
        <v>172678.66999999998</v>
      </c>
      <c r="J73" s="17"/>
      <c r="L73" s="17"/>
    </row>
  </sheetData>
  <phoneticPr fontId="0" type="noConversion"/>
  <pageMargins left="0.75" right="0.75" top="1" bottom="1" header="0.5" footer="0.5"/>
  <pageSetup orientation="portrait" r:id="rId1"/>
  <headerFooter alignWithMargins="0">
    <oddHeader>&amp;"B"&amp;8&amp;"Tahoma"NeighborWorks of Western Vermont&amp;"B"
&amp;8&amp;"Tahoma"Statement of Revenues and Expenditures - Unposted Transactions Included In Report
&amp;8&amp;"Tahoma"From 1/1/2022 Through 1/31/2022</oddHeader>
    <oddFooter>&amp;R&amp;6&amp;"Tahoma"Page:  &amp;P</oddFooter>
  </headerFooter>
  <rowBreaks count="1" manualBreakCount="1">
    <brk id="74"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782D-9DB6-416F-882F-5CDA0D047680}">
  <dimension ref="A1:J28"/>
  <sheetViews>
    <sheetView workbookViewId="0">
      <selection sqref="A1:G1"/>
    </sheetView>
  </sheetViews>
  <sheetFormatPr defaultRowHeight="10.199999999999999" x14ac:dyDescent="0.2"/>
  <cols>
    <col min="1" max="1" width="59.7109375" style="101" customWidth="1"/>
    <col min="2" max="2" width="27.42578125" style="101" customWidth="1"/>
    <col min="3" max="3" width="33.140625" style="101" customWidth="1"/>
    <col min="4" max="10" width="9.140625" style="101"/>
  </cols>
  <sheetData>
    <row r="1" spans="1:10" s="23" customFormat="1" ht="15.6" x14ac:dyDescent="0.3">
      <c r="A1" s="103" t="s">
        <v>270</v>
      </c>
      <c r="B1" s="104"/>
      <c r="C1" s="104"/>
      <c r="D1" s="104"/>
      <c r="E1" s="104"/>
      <c r="F1" s="104"/>
      <c r="G1" s="104"/>
      <c r="H1" s="95"/>
      <c r="I1" s="95"/>
      <c r="J1" s="95"/>
    </row>
    <row r="4" spans="1:10" s="24" customFormat="1" ht="14.4" x14ac:dyDescent="0.3">
      <c r="A4" s="92"/>
      <c r="B4" s="92" t="s">
        <v>145</v>
      </c>
      <c r="C4" s="92" t="s">
        <v>146</v>
      </c>
      <c r="D4" s="92"/>
      <c r="E4" s="92"/>
      <c r="F4" s="92"/>
      <c r="G4" s="92"/>
      <c r="H4" s="92"/>
      <c r="I4" s="92"/>
      <c r="J4" s="92"/>
    </row>
    <row r="5" spans="1:10" s="23" customFormat="1" ht="14.4" x14ac:dyDescent="0.3">
      <c r="A5" s="93" t="s">
        <v>2</v>
      </c>
      <c r="B5" s="94"/>
      <c r="C5" s="94"/>
      <c r="D5" s="95"/>
      <c r="E5" s="95"/>
      <c r="F5" s="95"/>
      <c r="G5" s="95"/>
      <c r="H5" s="95"/>
      <c r="I5" s="95"/>
      <c r="J5" s="95"/>
    </row>
    <row r="6" spans="1:10" s="23" customFormat="1" ht="14.4" x14ac:dyDescent="0.3">
      <c r="A6" s="93" t="s">
        <v>4</v>
      </c>
      <c r="B6" s="94"/>
      <c r="C6" s="94"/>
      <c r="D6" s="95"/>
      <c r="E6" s="95"/>
      <c r="F6" s="95"/>
      <c r="G6" s="95"/>
      <c r="H6" s="95"/>
      <c r="I6" s="95"/>
      <c r="J6" s="95"/>
    </row>
    <row r="7" spans="1:10" s="23" customFormat="1" ht="14.4" x14ac:dyDescent="0.3">
      <c r="A7" s="96" t="s">
        <v>10</v>
      </c>
      <c r="B7" s="94"/>
      <c r="C7" s="94"/>
      <c r="D7" s="95"/>
      <c r="E7" s="95"/>
      <c r="F7" s="95"/>
      <c r="G7" s="95"/>
      <c r="H7" s="95"/>
      <c r="I7" s="95"/>
      <c r="J7" s="95"/>
    </row>
    <row r="8" spans="1:10" s="23" customFormat="1" ht="14.4" x14ac:dyDescent="0.3">
      <c r="A8" s="93" t="s">
        <v>6</v>
      </c>
      <c r="B8" s="94"/>
      <c r="C8" s="94"/>
      <c r="D8" s="95"/>
      <c r="E8" s="95"/>
      <c r="F8" s="95"/>
      <c r="G8" s="95"/>
      <c r="H8" s="95"/>
      <c r="I8" s="95"/>
      <c r="J8" s="95"/>
    </row>
    <row r="9" spans="1:10" s="23" customFormat="1" ht="14.4" x14ac:dyDescent="0.3">
      <c r="A9" s="93" t="s">
        <v>16</v>
      </c>
      <c r="B9" s="94"/>
      <c r="C9" s="94"/>
      <c r="D9" s="95"/>
      <c r="E9" s="95"/>
      <c r="F9" s="95"/>
      <c r="G9" s="95"/>
      <c r="H9" s="95"/>
      <c r="I9" s="95"/>
      <c r="J9" s="95"/>
    </row>
    <row r="10" spans="1:10" s="23" customFormat="1" ht="14.4" x14ac:dyDescent="0.3">
      <c r="A10" s="93" t="s">
        <v>12</v>
      </c>
      <c r="B10" s="94"/>
      <c r="C10" s="94"/>
      <c r="D10" s="95"/>
      <c r="E10" s="95"/>
      <c r="F10" s="95"/>
      <c r="G10" s="95"/>
      <c r="H10" s="95"/>
      <c r="I10" s="95"/>
      <c r="J10" s="95"/>
    </row>
    <row r="11" spans="1:10" s="23" customFormat="1" ht="14.4" x14ac:dyDescent="0.3">
      <c r="A11" s="93" t="s">
        <v>20</v>
      </c>
      <c r="B11" s="94"/>
      <c r="C11" s="94"/>
      <c r="D11" s="95"/>
      <c r="E11" s="95"/>
      <c r="F11" s="95"/>
      <c r="G11" s="95"/>
      <c r="H11" s="95"/>
      <c r="I11" s="95"/>
      <c r="J11" s="95"/>
    </row>
    <row r="12" spans="1:10" s="23" customFormat="1" ht="14.4" x14ac:dyDescent="0.3">
      <c r="A12" s="93" t="s">
        <v>23</v>
      </c>
      <c r="B12" s="94"/>
      <c r="C12" s="94"/>
      <c r="D12" s="95"/>
      <c r="E12" s="95"/>
      <c r="F12" s="95"/>
      <c r="G12" s="95"/>
      <c r="H12" s="95"/>
      <c r="I12" s="95"/>
      <c r="J12" s="95"/>
    </row>
    <row r="13" spans="1:10" s="23" customFormat="1" ht="14.4" x14ac:dyDescent="0.3">
      <c r="A13" s="93" t="s">
        <v>27</v>
      </c>
      <c r="B13" s="94"/>
      <c r="C13" s="94"/>
      <c r="D13" s="95"/>
      <c r="E13" s="95"/>
      <c r="F13" s="95"/>
      <c r="G13" s="95"/>
      <c r="H13" s="95"/>
      <c r="I13" s="95"/>
      <c r="J13" s="95"/>
    </row>
    <row r="14" spans="1:10" s="23" customFormat="1" ht="14.4" x14ac:dyDescent="0.3">
      <c r="A14" s="93" t="s">
        <v>31</v>
      </c>
      <c r="B14" s="94"/>
      <c r="C14" s="94"/>
      <c r="D14" s="95"/>
      <c r="E14" s="95"/>
      <c r="F14" s="95"/>
      <c r="G14" s="95"/>
      <c r="H14" s="95"/>
      <c r="I14" s="95"/>
      <c r="J14" s="95"/>
    </row>
    <row r="15" spans="1:10" s="23" customFormat="1" ht="14.4" x14ac:dyDescent="0.3">
      <c r="A15" s="93" t="s">
        <v>35</v>
      </c>
      <c r="B15" s="94">
        <v>14686.5</v>
      </c>
      <c r="C15" s="94"/>
      <c r="D15" s="95"/>
      <c r="E15" s="95"/>
      <c r="F15" s="95"/>
      <c r="G15" s="95"/>
      <c r="H15" s="95"/>
      <c r="I15" s="95"/>
      <c r="J15" s="95"/>
    </row>
    <row r="16" spans="1:10" s="23" customFormat="1" ht="14.4" x14ac:dyDescent="0.3">
      <c r="A16" s="93" t="s">
        <v>37</v>
      </c>
      <c r="B16" s="94">
        <v>6367.86</v>
      </c>
      <c r="C16" s="94"/>
      <c r="D16" s="95"/>
      <c r="E16" s="95"/>
      <c r="F16" s="95"/>
      <c r="G16" s="95"/>
      <c r="H16" s="95"/>
      <c r="I16" s="95"/>
      <c r="J16" s="95"/>
    </row>
    <row r="17" spans="1:10" s="23" customFormat="1" ht="14.4" x14ac:dyDescent="0.3">
      <c r="A17" s="93" t="s">
        <v>41</v>
      </c>
      <c r="B17" s="94"/>
      <c r="C17" s="94"/>
      <c r="D17" s="95"/>
      <c r="E17" s="95"/>
      <c r="F17" s="95"/>
      <c r="G17" s="95"/>
      <c r="H17" s="95"/>
      <c r="I17" s="95"/>
      <c r="J17" s="95"/>
    </row>
    <row r="18" spans="1:10" s="23" customFormat="1" ht="14.4" x14ac:dyDescent="0.3">
      <c r="A18" s="93" t="s">
        <v>45</v>
      </c>
      <c r="B18" s="94"/>
      <c r="C18" s="94"/>
      <c r="D18" s="95"/>
      <c r="E18" s="95"/>
      <c r="F18" s="95"/>
      <c r="G18" s="95"/>
      <c r="H18" s="95"/>
      <c r="I18" s="95"/>
      <c r="J18" s="95"/>
    </row>
    <row r="19" spans="1:10" s="23" customFormat="1" ht="14.4" x14ac:dyDescent="0.3">
      <c r="A19" s="93" t="s">
        <v>47</v>
      </c>
      <c r="B19" s="94"/>
      <c r="C19" s="94"/>
      <c r="D19" s="95"/>
      <c r="E19" s="95"/>
      <c r="F19" s="95"/>
      <c r="G19" s="95"/>
      <c r="H19" s="95"/>
      <c r="I19" s="95"/>
      <c r="J19" s="95"/>
    </row>
    <row r="20" spans="1:10" s="23" customFormat="1" ht="14.4" x14ac:dyDescent="0.3">
      <c r="A20" s="97" t="s">
        <v>147</v>
      </c>
      <c r="B20" s="98"/>
      <c r="C20" s="98"/>
      <c r="D20" s="95"/>
      <c r="E20" s="95"/>
      <c r="F20" s="95"/>
      <c r="G20" s="95"/>
      <c r="H20" s="95"/>
      <c r="I20" s="95"/>
      <c r="J20" s="95"/>
    </row>
    <row r="21" spans="1:10" s="23" customFormat="1" ht="14.4" x14ac:dyDescent="0.3">
      <c r="A21" s="95"/>
      <c r="B21" s="95"/>
      <c r="C21" s="99">
        <f>'Op Stmt of Act (Bud v Act)'!D48</f>
        <v>1036607</v>
      </c>
      <c r="D21" s="95" t="s">
        <v>148</v>
      </c>
      <c r="E21" s="95"/>
      <c r="F21" s="95"/>
      <c r="G21" s="95"/>
      <c r="H21" s="95"/>
      <c r="I21" s="95"/>
      <c r="J21" s="95"/>
    </row>
    <row r="22" spans="1:10" s="23" customFormat="1" ht="14.4" x14ac:dyDescent="0.3">
      <c r="A22" s="95"/>
      <c r="B22" s="95"/>
      <c r="C22" s="95"/>
      <c r="D22" s="95"/>
      <c r="E22" s="95"/>
      <c r="F22" s="95"/>
      <c r="G22" s="95"/>
      <c r="H22" s="95"/>
      <c r="I22" s="95"/>
      <c r="J22" s="95"/>
    </row>
    <row r="23" spans="1:10" s="23" customFormat="1" ht="14.4" x14ac:dyDescent="0.3">
      <c r="A23" s="95"/>
      <c r="B23" s="95"/>
      <c r="C23" s="95"/>
      <c r="D23" s="95"/>
      <c r="E23" s="95"/>
      <c r="F23" s="95"/>
      <c r="G23" s="95"/>
      <c r="H23" s="95"/>
      <c r="I23" s="95"/>
      <c r="J23" s="95"/>
    </row>
    <row r="24" spans="1:10" s="23" customFormat="1" ht="14.4" x14ac:dyDescent="0.3">
      <c r="A24" s="100" t="s">
        <v>149</v>
      </c>
      <c r="B24" s="100">
        <v>9508.9500000000007</v>
      </c>
      <c r="C24" s="95"/>
      <c r="D24" s="95"/>
      <c r="E24" s="95"/>
      <c r="F24" s="95"/>
      <c r="G24" s="95"/>
      <c r="H24" s="95"/>
      <c r="I24" s="95"/>
      <c r="J24" s="95"/>
    </row>
    <row r="25" spans="1:10" s="23" customFormat="1" ht="14.4" x14ac:dyDescent="0.3">
      <c r="A25" s="95"/>
      <c r="B25" s="95"/>
      <c r="C25" s="95"/>
      <c r="D25" s="95"/>
      <c r="E25" s="95"/>
      <c r="F25" s="95"/>
      <c r="G25" s="95"/>
      <c r="H25" s="95"/>
      <c r="I25" s="95"/>
      <c r="J25" s="95"/>
    </row>
    <row r="26" spans="1:10" s="23" customFormat="1" ht="14.4" x14ac:dyDescent="0.3">
      <c r="A26" s="95"/>
      <c r="B26" s="95"/>
      <c r="C26" s="95"/>
      <c r="D26" s="95"/>
      <c r="E26" s="95"/>
      <c r="F26" s="95"/>
      <c r="G26" s="95"/>
      <c r="H26" s="95"/>
      <c r="I26" s="95"/>
      <c r="J26" s="95"/>
    </row>
    <row r="27" spans="1:10" s="23" customFormat="1" ht="14.4" x14ac:dyDescent="0.3">
      <c r="A27" s="95"/>
      <c r="B27" s="95"/>
      <c r="C27" s="95"/>
      <c r="D27" s="95"/>
      <c r="E27" s="95"/>
      <c r="F27" s="95"/>
      <c r="G27" s="95"/>
      <c r="H27" s="95"/>
      <c r="I27" s="95"/>
      <c r="J27" s="95"/>
    </row>
    <row r="28" spans="1:10" s="23" customFormat="1" ht="14.4" x14ac:dyDescent="0.3">
      <c r="A28" s="95"/>
      <c r="B28" s="95"/>
      <c r="C28" s="95"/>
      <c r="D28" s="95"/>
      <c r="E28" s="95"/>
      <c r="F28" s="95"/>
      <c r="G28" s="95"/>
      <c r="H28" s="95"/>
      <c r="I28" s="95"/>
      <c r="J28" s="95"/>
    </row>
  </sheetData>
  <hyperlinks>
    <hyperlink ref="A7" r:id="rId1" xr:uid="{73C8F72B-A639-4768-8507-660356A07F1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531A4-8934-4578-964C-26E299656B20}">
  <dimension ref="A1:G22"/>
  <sheetViews>
    <sheetView workbookViewId="0">
      <selection activeCell="E1" sqref="E1:G1048576"/>
    </sheetView>
  </sheetViews>
  <sheetFormatPr defaultRowHeight="10.199999999999999" x14ac:dyDescent="0.2"/>
  <cols>
    <col min="1" max="1" width="56" style="101" bestFit="1" customWidth="1"/>
    <col min="2" max="2" width="31" style="101" bestFit="1" customWidth="1"/>
    <col min="3" max="3" width="29.7109375" style="101" bestFit="1" customWidth="1"/>
    <col min="4" max="4" width="20.28515625" style="101" bestFit="1" customWidth="1"/>
    <col min="5" max="7" width="9.140625" style="110"/>
  </cols>
  <sheetData>
    <row r="1" spans="1:7" ht="15.6" x14ac:dyDescent="0.3">
      <c r="A1" s="103" t="s">
        <v>270</v>
      </c>
      <c r="B1" s="104"/>
      <c r="C1" s="104"/>
      <c r="D1" s="104"/>
      <c r="E1" s="109"/>
      <c r="F1" s="109"/>
      <c r="G1" s="109"/>
    </row>
    <row r="4" spans="1:7" ht="14.4" x14ac:dyDescent="0.3">
      <c r="A4" s="92"/>
      <c r="B4" s="92" t="s">
        <v>150</v>
      </c>
      <c r="C4" s="92" t="s">
        <v>151</v>
      </c>
      <c r="D4" s="92" t="s">
        <v>152</v>
      </c>
    </row>
    <row r="5" spans="1:7" ht="14.4" x14ac:dyDescent="0.3">
      <c r="A5" s="105" t="s">
        <v>78</v>
      </c>
      <c r="B5" s="94"/>
      <c r="C5" s="94">
        <v>32000</v>
      </c>
    </row>
    <row r="6" spans="1:7" ht="14.4" x14ac:dyDescent="0.3">
      <c r="A6" s="93" t="s">
        <v>153</v>
      </c>
      <c r="B6" s="94">
        <v>1186.5</v>
      </c>
      <c r="C6" s="94"/>
    </row>
    <row r="7" spans="1:7" ht="14.4" x14ac:dyDescent="0.3">
      <c r="A7" s="96"/>
      <c r="B7" s="94"/>
      <c r="C7" s="94"/>
    </row>
    <row r="8" spans="1:7" ht="14.4" x14ac:dyDescent="0.3">
      <c r="A8" s="93"/>
      <c r="B8" s="94"/>
      <c r="C8" s="94"/>
    </row>
    <row r="9" spans="1:7" ht="14.4" x14ac:dyDescent="0.3">
      <c r="A9" s="93"/>
      <c r="B9" s="94"/>
      <c r="C9" s="94"/>
    </row>
    <row r="10" spans="1:7" ht="14.4" x14ac:dyDescent="0.3">
      <c r="A10" s="93"/>
      <c r="B10" s="94"/>
      <c r="C10" s="94"/>
    </row>
    <row r="11" spans="1:7" ht="14.4" x14ac:dyDescent="0.3">
      <c r="A11" s="93" t="s">
        <v>154</v>
      </c>
      <c r="B11" s="106">
        <f>SUM(B5:B10)</f>
        <v>1186.5</v>
      </c>
      <c r="C11" s="106">
        <f>SUM(C5:C10)</f>
        <v>32000</v>
      </c>
      <c r="D11" s="94">
        <f>C11-B11</f>
        <v>30813.5</v>
      </c>
    </row>
    <row r="12" spans="1:7" ht="14.4" x14ac:dyDescent="0.3">
      <c r="A12" s="93"/>
      <c r="B12" s="94"/>
      <c r="C12" s="94"/>
      <c r="D12" s="94"/>
    </row>
    <row r="13" spans="1:7" ht="14.4" x14ac:dyDescent="0.3">
      <c r="A13" s="105" t="s">
        <v>155</v>
      </c>
      <c r="B13" s="94"/>
      <c r="C13" s="94">
        <f>98000+10000</f>
        <v>108000</v>
      </c>
    </row>
    <row r="14" spans="1:7" ht="14.4" x14ac:dyDescent="0.3">
      <c r="A14" s="93" t="s">
        <v>156</v>
      </c>
      <c r="B14" s="94">
        <v>6000</v>
      </c>
      <c r="C14" s="94"/>
    </row>
    <row r="15" spans="1:7" ht="14.4" x14ac:dyDescent="0.3">
      <c r="A15" s="93" t="s">
        <v>157</v>
      </c>
      <c r="B15" s="94">
        <v>7610</v>
      </c>
      <c r="C15" s="94"/>
    </row>
    <row r="16" spans="1:7" ht="14.4" x14ac:dyDescent="0.3">
      <c r="A16" s="93" t="s">
        <v>158</v>
      </c>
      <c r="B16" s="94">
        <v>32.5</v>
      </c>
      <c r="C16" s="94"/>
    </row>
    <row r="17" spans="1:4" ht="14.4" x14ac:dyDescent="0.3">
      <c r="A17" s="93" t="s">
        <v>159</v>
      </c>
      <c r="B17" s="94">
        <v>845.5</v>
      </c>
      <c r="C17" s="94"/>
    </row>
    <row r="18" spans="1:4" ht="57.6" x14ac:dyDescent="0.3">
      <c r="A18" s="107" t="s">
        <v>160</v>
      </c>
      <c r="B18" s="94">
        <v>10500</v>
      </c>
      <c r="C18" s="94"/>
    </row>
    <row r="19" spans="1:4" ht="14.4" x14ac:dyDescent="0.3">
      <c r="A19" s="93"/>
      <c r="B19" s="94"/>
      <c r="C19" s="94"/>
    </row>
    <row r="20" spans="1:4" ht="14.4" x14ac:dyDescent="0.3">
      <c r="A20" s="93"/>
      <c r="B20" s="108"/>
      <c r="C20" s="108"/>
    </row>
    <row r="21" spans="1:4" ht="14.4" x14ac:dyDescent="0.3">
      <c r="A21" s="97" t="s">
        <v>161</v>
      </c>
      <c r="B21" s="98">
        <f>SUM(B13:B20)</f>
        <v>24988</v>
      </c>
      <c r="C21" s="98">
        <f>SUM(C13:C20)</f>
        <v>108000</v>
      </c>
      <c r="D21" s="94">
        <f>C21-B21</f>
        <v>83012</v>
      </c>
    </row>
    <row r="22" spans="1:4" ht="14.4" x14ac:dyDescent="0.3">
      <c r="A22" s="92" t="s">
        <v>162</v>
      </c>
      <c r="B22" s="94">
        <f>B11+B21</f>
        <v>26174.5</v>
      </c>
      <c r="C22" s="94">
        <f>C11+C21</f>
        <v>140000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F288"/>
  <sheetViews>
    <sheetView zoomScaleNormal="100" workbookViewId="0">
      <selection activeCell="H1" sqref="H1"/>
    </sheetView>
  </sheetViews>
  <sheetFormatPr defaultColWidth="8.85546875" defaultRowHeight="10.199999999999999" x14ac:dyDescent="0.2"/>
  <cols>
    <col min="1" max="1" width="54.7109375" style="6" customWidth="1"/>
    <col min="2" max="6" width="19.28515625" style="6" customWidth="1"/>
    <col min="7" max="10" width="9.28515625" style="6" customWidth="1"/>
    <col min="11" max="16384" width="8.85546875" style="6"/>
  </cols>
  <sheetData>
    <row r="1" spans="1:6" s="31" customFormat="1" ht="13.2" x14ac:dyDescent="0.25">
      <c r="A1" s="46" t="s">
        <v>163</v>
      </c>
      <c r="B1" s="44"/>
      <c r="C1" s="45"/>
      <c r="D1" s="44"/>
      <c r="E1" s="45"/>
      <c r="F1" s="30"/>
    </row>
    <row r="2" spans="1:6" x14ac:dyDescent="0.2">
      <c r="A2"/>
      <c r="B2"/>
      <c r="C2" s="26"/>
      <c r="D2"/>
      <c r="E2" s="26"/>
      <c r="F2"/>
    </row>
    <row r="3" spans="1:6" ht="25.5" customHeight="1" x14ac:dyDescent="0.35">
      <c r="A3"/>
      <c r="B3" s="50" t="s">
        <v>164</v>
      </c>
      <c r="C3" s="50" t="s">
        <v>165</v>
      </c>
      <c r="D3" s="50" t="s">
        <v>166</v>
      </c>
      <c r="E3" s="50" t="s">
        <v>167</v>
      </c>
      <c r="F3" s="25"/>
    </row>
    <row r="4" spans="1:6" x14ac:dyDescent="0.2">
      <c r="A4"/>
      <c r="B4"/>
      <c r="C4" s="26"/>
      <c r="D4"/>
      <c r="E4" s="26"/>
      <c r="F4"/>
    </row>
    <row r="5" spans="1:6" ht="12.75" customHeight="1" x14ac:dyDescent="0.2">
      <c r="A5" t="s">
        <v>59</v>
      </c>
      <c r="B5" s="26"/>
      <c r="C5" s="26"/>
      <c r="D5" s="26"/>
      <c r="E5" s="26"/>
      <c r="F5" s="27"/>
    </row>
    <row r="6" spans="1:6" ht="12.75" customHeight="1" x14ac:dyDescent="0.2">
      <c r="A6" t="s">
        <v>168</v>
      </c>
      <c r="B6" s="26"/>
      <c r="C6" s="26"/>
      <c r="D6" s="26"/>
      <c r="E6" s="26"/>
      <c r="F6" s="27"/>
    </row>
    <row r="7" spans="1:6" ht="12.75" customHeight="1" x14ac:dyDescent="0.2">
      <c r="A7" t="s">
        <v>61</v>
      </c>
      <c r="B7" s="37">
        <v>159849</v>
      </c>
      <c r="C7" s="37">
        <v>39962.25</v>
      </c>
      <c r="D7" s="37">
        <v>32941</v>
      </c>
      <c r="E7" s="42">
        <v>-7021.25</v>
      </c>
      <c r="F7" s="27"/>
    </row>
    <row r="8" spans="1:6" ht="12.75" customHeight="1" x14ac:dyDescent="0.2">
      <c r="A8" t="s">
        <v>63</v>
      </c>
      <c r="B8" s="37">
        <v>40000</v>
      </c>
      <c r="C8" s="37">
        <v>9999.99</v>
      </c>
      <c r="D8" s="37">
        <v>12584</v>
      </c>
      <c r="E8" s="37">
        <v>2584.0100000000002</v>
      </c>
      <c r="F8" s="27"/>
    </row>
    <row r="9" spans="1:6" ht="12.75" customHeight="1" x14ac:dyDescent="0.35">
      <c r="A9" t="s">
        <v>67</v>
      </c>
      <c r="B9" s="39">
        <v>500000</v>
      </c>
      <c r="C9" s="39">
        <v>125000.01</v>
      </c>
      <c r="D9" s="38">
        <v>0</v>
      </c>
      <c r="E9" s="43">
        <v>-125000.01</v>
      </c>
      <c r="F9" s="25"/>
    </row>
    <row r="10" spans="1:6" ht="12.75" customHeight="1" x14ac:dyDescent="0.35">
      <c r="A10" t="s">
        <v>87</v>
      </c>
      <c r="B10" s="39">
        <v>699849</v>
      </c>
      <c r="C10" s="39">
        <v>174962.25</v>
      </c>
      <c r="D10" s="39">
        <v>45525</v>
      </c>
      <c r="E10" s="43">
        <v>-129437.25</v>
      </c>
      <c r="F10" s="25"/>
    </row>
    <row r="11" spans="1:6" s="36" customFormat="1" ht="12.75" customHeight="1" x14ac:dyDescent="0.35">
      <c r="A11" s="47" t="s">
        <v>107</v>
      </c>
      <c r="B11" s="54">
        <v>699849</v>
      </c>
      <c r="C11" s="54">
        <v>174962.25</v>
      </c>
      <c r="D11" s="54">
        <v>45525</v>
      </c>
      <c r="E11" s="54">
        <v>-129437.25</v>
      </c>
      <c r="F11" s="35"/>
    </row>
    <row r="12" spans="1:6" x14ac:dyDescent="0.2">
      <c r="A12"/>
      <c r="B12" s="26"/>
      <c r="C12" s="26"/>
      <c r="D12" s="26"/>
      <c r="E12" s="26"/>
      <c r="F12" s="27"/>
    </row>
    <row r="13" spans="1:6" ht="12.75" customHeight="1" x14ac:dyDescent="0.2">
      <c r="A13" t="s">
        <v>108</v>
      </c>
      <c r="B13" s="26"/>
      <c r="C13" s="26"/>
      <c r="D13" s="26"/>
      <c r="E13" s="26"/>
      <c r="F13" s="27"/>
    </row>
    <row r="14" spans="1:6" ht="12.75" customHeight="1" x14ac:dyDescent="0.2">
      <c r="A14" t="s">
        <v>109</v>
      </c>
      <c r="B14" s="37">
        <v>198670</v>
      </c>
      <c r="C14" s="37">
        <v>49667.49</v>
      </c>
      <c r="D14" s="37">
        <v>39986.660000000003</v>
      </c>
      <c r="E14" s="37">
        <v>9680.83</v>
      </c>
      <c r="F14" s="27"/>
    </row>
    <row r="15" spans="1:6" ht="12.75" customHeight="1" x14ac:dyDescent="0.2">
      <c r="A15" t="s">
        <v>110</v>
      </c>
      <c r="B15" s="26"/>
      <c r="C15" s="26"/>
      <c r="D15" s="26"/>
      <c r="E15" s="26"/>
      <c r="F15" s="27"/>
    </row>
    <row r="16" spans="1:6" ht="12.75" customHeight="1" x14ac:dyDescent="0.35">
      <c r="A16" t="s">
        <v>115</v>
      </c>
      <c r="B16" s="38">
        <v>0</v>
      </c>
      <c r="C16" s="38">
        <v>0</v>
      </c>
      <c r="D16" s="38">
        <v>10.95</v>
      </c>
      <c r="E16" s="40">
        <v>-10.95</v>
      </c>
      <c r="F16" s="27"/>
    </row>
    <row r="17" spans="1:6" ht="12.75" customHeight="1" x14ac:dyDescent="0.2">
      <c r="A17" t="s">
        <v>117</v>
      </c>
      <c r="B17" s="26">
        <v>0</v>
      </c>
      <c r="C17" s="26">
        <v>0</v>
      </c>
      <c r="D17" s="26">
        <v>10.95</v>
      </c>
      <c r="E17" s="41">
        <v>-10.95</v>
      </c>
      <c r="F17" s="27"/>
    </row>
    <row r="18" spans="1:6" ht="12.75" customHeight="1" x14ac:dyDescent="0.2">
      <c r="A18" t="s">
        <v>118</v>
      </c>
      <c r="B18" s="37">
        <v>465000</v>
      </c>
      <c r="C18" s="37">
        <v>116250</v>
      </c>
      <c r="D18" s="26">
        <v>0</v>
      </c>
      <c r="E18" s="37">
        <v>116250</v>
      </c>
      <c r="F18" s="27"/>
    </row>
    <row r="19" spans="1:6" ht="12.75" customHeight="1" x14ac:dyDescent="0.2">
      <c r="A19" t="s">
        <v>123</v>
      </c>
      <c r="B19" s="37">
        <v>3500</v>
      </c>
      <c r="C19" s="26">
        <v>875.01</v>
      </c>
      <c r="D19" s="26">
        <v>0</v>
      </c>
      <c r="E19" s="26">
        <v>875.01</v>
      </c>
      <c r="F19" s="27"/>
    </row>
    <row r="20" spans="1:6" ht="12.75" customHeight="1" x14ac:dyDescent="0.2">
      <c r="A20" t="s">
        <v>124</v>
      </c>
      <c r="B20" s="37">
        <v>5000</v>
      </c>
      <c r="C20" s="37">
        <v>1250.01</v>
      </c>
      <c r="D20" s="26">
        <v>491.44</v>
      </c>
      <c r="E20" s="26">
        <v>758.57</v>
      </c>
      <c r="F20" s="27"/>
    </row>
    <row r="21" spans="1:6" ht="12.75" customHeight="1" x14ac:dyDescent="0.2">
      <c r="A21" t="s">
        <v>125</v>
      </c>
      <c r="B21" s="26">
        <v>503</v>
      </c>
      <c r="C21" s="26">
        <v>125.76</v>
      </c>
      <c r="D21" s="26">
        <v>72.010000000000005</v>
      </c>
      <c r="E21" s="26">
        <v>53.75</v>
      </c>
      <c r="F21" s="27"/>
    </row>
    <row r="22" spans="1:6" ht="12.75" customHeight="1" x14ac:dyDescent="0.2">
      <c r="A22" t="s">
        <v>127</v>
      </c>
      <c r="B22" s="26">
        <v>856</v>
      </c>
      <c r="C22" s="26">
        <v>213.99</v>
      </c>
      <c r="D22" s="26">
        <v>0</v>
      </c>
      <c r="E22" s="26">
        <v>213.99</v>
      </c>
      <c r="F22" s="27"/>
    </row>
    <row r="23" spans="1:6" ht="12.75" customHeight="1" x14ac:dyDescent="0.2">
      <c r="A23" t="s">
        <v>128</v>
      </c>
      <c r="B23" s="26">
        <v>500</v>
      </c>
      <c r="C23" s="26">
        <v>125.01</v>
      </c>
      <c r="D23" s="26">
        <v>0</v>
      </c>
      <c r="E23" s="26">
        <v>125.01</v>
      </c>
      <c r="F23" s="27"/>
    </row>
    <row r="24" spans="1:6" ht="12.75" customHeight="1" x14ac:dyDescent="0.2">
      <c r="A24" t="s">
        <v>129</v>
      </c>
      <c r="B24" s="37">
        <v>11810</v>
      </c>
      <c r="C24" s="37">
        <v>2952.51</v>
      </c>
      <c r="D24" s="37">
        <v>2903.34</v>
      </c>
      <c r="E24" s="26">
        <v>49.17</v>
      </c>
      <c r="F24" s="27"/>
    </row>
    <row r="25" spans="1:6" ht="12.75" customHeight="1" x14ac:dyDescent="0.2">
      <c r="A25" t="s">
        <v>131</v>
      </c>
      <c r="B25" s="37">
        <v>1425</v>
      </c>
      <c r="C25" s="26">
        <v>356.25</v>
      </c>
      <c r="D25" s="26">
        <v>81.900000000000006</v>
      </c>
      <c r="E25" s="26">
        <v>274.35000000000002</v>
      </c>
      <c r="F25" s="27"/>
    </row>
    <row r="26" spans="1:6" ht="12.75" customHeight="1" x14ac:dyDescent="0.2">
      <c r="A26" t="s">
        <v>132</v>
      </c>
      <c r="B26" s="26">
        <v>785</v>
      </c>
      <c r="C26" s="26">
        <v>196.23</v>
      </c>
      <c r="D26" s="26">
        <v>175.48</v>
      </c>
      <c r="E26" s="26">
        <v>20.75</v>
      </c>
      <c r="F26" s="27"/>
    </row>
    <row r="27" spans="1:6" ht="12.75" customHeight="1" x14ac:dyDescent="0.2">
      <c r="A27" t="s">
        <v>133</v>
      </c>
      <c r="B27" s="37">
        <v>3000</v>
      </c>
      <c r="C27" s="26">
        <v>750</v>
      </c>
      <c r="D27" s="37">
        <v>1318.64</v>
      </c>
      <c r="E27" s="41">
        <v>-568.64</v>
      </c>
      <c r="F27" s="27"/>
    </row>
    <row r="28" spans="1:6" ht="12.75" customHeight="1" x14ac:dyDescent="0.2">
      <c r="A28" t="s">
        <v>134</v>
      </c>
      <c r="B28" s="37">
        <v>3817</v>
      </c>
      <c r="C28" s="26">
        <v>954.24</v>
      </c>
      <c r="D28" s="26">
        <v>882.47</v>
      </c>
      <c r="E28" s="26">
        <v>71.77</v>
      </c>
      <c r="F28" s="27"/>
    </row>
    <row r="29" spans="1:6" ht="12.75" customHeight="1" x14ac:dyDescent="0.2">
      <c r="A29" t="s">
        <v>135</v>
      </c>
      <c r="B29" s="37">
        <v>2059</v>
      </c>
      <c r="C29" s="26">
        <v>514.74</v>
      </c>
      <c r="D29" s="26">
        <v>103.26</v>
      </c>
      <c r="E29" s="26">
        <v>411.48</v>
      </c>
      <c r="F29" s="27"/>
    </row>
    <row r="30" spans="1:6" ht="12.75" customHeight="1" x14ac:dyDescent="0.2">
      <c r="A30" t="s">
        <v>136</v>
      </c>
      <c r="B30" s="26">
        <v>593</v>
      </c>
      <c r="C30" s="26">
        <v>148.26</v>
      </c>
      <c r="D30" s="26">
        <v>372.73</v>
      </c>
      <c r="E30" s="41">
        <v>-224.47</v>
      </c>
      <c r="F30" s="27"/>
    </row>
    <row r="31" spans="1:6" ht="12.75" customHeight="1" x14ac:dyDescent="0.35">
      <c r="A31" t="s">
        <v>137</v>
      </c>
      <c r="B31" s="37">
        <v>1311</v>
      </c>
      <c r="C31" s="26">
        <v>327.75</v>
      </c>
      <c r="D31" s="26">
        <v>243.38</v>
      </c>
      <c r="E31" s="26">
        <v>84.37</v>
      </c>
      <c r="F31" s="25"/>
    </row>
    <row r="32" spans="1:6" s="36" customFormat="1" ht="12.75" customHeight="1" x14ac:dyDescent="0.35">
      <c r="A32" t="s">
        <v>140</v>
      </c>
      <c r="B32" s="37">
        <v>1510</v>
      </c>
      <c r="C32" s="26">
        <v>377.49</v>
      </c>
      <c r="D32" s="26">
        <v>372.25</v>
      </c>
      <c r="E32" s="26">
        <v>5.24</v>
      </c>
      <c r="F32" s="35"/>
    </row>
    <row r="33" spans="1:6" x14ac:dyDescent="0.2">
      <c r="A33" t="s">
        <v>141</v>
      </c>
      <c r="B33" s="26">
        <v>150</v>
      </c>
      <c r="C33" s="26">
        <v>37.5</v>
      </c>
      <c r="D33" s="26">
        <v>0</v>
      </c>
      <c r="E33" s="26">
        <v>37.5</v>
      </c>
      <c r="F33" s="27"/>
    </row>
    <row r="34" spans="1:6" ht="12" x14ac:dyDescent="0.35">
      <c r="A34" t="s">
        <v>142</v>
      </c>
      <c r="B34" s="39">
        <v>58120</v>
      </c>
      <c r="C34" s="39">
        <v>14529.99</v>
      </c>
      <c r="D34" s="39">
        <v>16710.93</v>
      </c>
      <c r="E34" s="43">
        <v>-2180.94</v>
      </c>
      <c r="F34" s="28"/>
    </row>
    <row r="35" spans="1:6" s="36" customFormat="1" ht="12" x14ac:dyDescent="0.35">
      <c r="A35" s="47" t="s">
        <v>143</v>
      </c>
      <c r="B35" s="54">
        <v>758609</v>
      </c>
      <c r="C35" s="54">
        <v>189652.23</v>
      </c>
      <c r="D35" s="54">
        <v>63725.440000000002</v>
      </c>
      <c r="E35" s="54">
        <v>125926.79</v>
      </c>
      <c r="F35" s="47"/>
    </row>
    <row r="36" spans="1:6" s="31" customFormat="1" ht="13.2" x14ac:dyDescent="0.25">
      <c r="A36"/>
      <c r="B36" s="26"/>
      <c r="C36" s="26"/>
      <c r="D36" s="26"/>
      <c r="E36" s="26"/>
      <c r="F36" s="30"/>
    </row>
    <row r="37" spans="1:6" s="36" customFormat="1" ht="12" x14ac:dyDescent="0.35">
      <c r="A37" s="47" t="s">
        <v>144</v>
      </c>
      <c r="B37" s="48">
        <v>-58760</v>
      </c>
      <c r="C37" s="48">
        <v>-14689.98</v>
      </c>
      <c r="D37" s="48">
        <v>-18200.439999999999</v>
      </c>
      <c r="E37" s="48">
        <v>-3510.46</v>
      </c>
      <c r="F37" s="47"/>
    </row>
    <row r="38" spans="1:6" ht="25.5" customHeight="1" x14ac:dyDescent="0.35">
      <c r="A38"/>
      <c r="B38"/>
      <c r="C38" s="26"/>
      <c r="D38"/>
      <c r="E38" s="26"/>
      <c r="F38" s="25"/>
    </row>
    <row r="39" spans="1:6" ht="13.2" x14ac:dyDescent="0.25">
      <c r="A39" s="46" t="s">
        <v>169</v>
      </c>
      <c r="B39" s="44"/>
      <c r="C39" s="45"/>
      <c r="D39" s="44"/>
      <c r="E39" s="45"/>
      <c r="F39"/>
    </row>
    <row r="40" spans="1:6" ht="12.75" customHeight="1" x14ac:dyDescent="0.2">
      <c r="A40"/>
      <c r="B40"/>
      <c r="C40" s="26"/>
      <c r="D40"/>
      <c r="E40" s="26"/>
      <c r="F40" s="27"/>
    </row>
    <row r="41" spans="1:6" ht="24" x14ac:dyDescent="0.35">
      <c r="A41"/>
      <c r="B41" s="50" t="s">
        <v>164</v>
      </c>
      <c r="C41" s="50" t="s">
        <v>165</v>
      </c>
      <c r="D41" s="50" t="s">
        <v>166</v>
      </c>
      <c r="E41" s="50" t="s">
        <v>167</v>
      </c>
      <c r="F41" s="27"/>
    </row>
    <row r="42" spans="1:6" ht="12.75" customHeight="1" x14ac:dyDescent="0.2">
      <c r="A42"/>
      <c r="B42"/>
      <c r="C42" s="26"/>
      <c r="D42"/>
      <c r="E42" s="26"/>
      <c r="F42" s="27"/>
    </row>
    <row r="43" spans="1:6" ht="12.75" customHeight="1" x14ac:dyDescent="0.2">
      <c r="A43" t="s">
        <v>59</v>
      </c>
      <c r="B43" s="26"/>
      <c r="C43" s="26"/>
      <c r="D43" s="26"/>
      <c r="E43" s="26"/>
      <c r="F43" s="27"/>
    </row>
    <row r="44" spans="1:6" ht="12.75" customHeight="1" x14ac:dyDescent="0.2">
      <c r="A44" t="s">
        <v>168</v>
      </c>
      <c r="B44" s="26"/>
      <c r="C44" s="26"/>
      <c r="D44" s="26"/>
      <c r="E44" s="26"/>
      <c r="F44" s="27"/>
    </row>
    <row r="45" spans="1:6" ht="12.75" customHeight="1" x14ac:dyDescent="0.2">
      <c r="A45" t="s">
        <v>69</v>
      </c>
      <c r="B45" s="37">
        <v>100000</v>
      </c>
      <c r="C45" s="37">
        <v>24999.99</v>
      </c>
      <c r="D45" s="37">
        <v>90728</v>
      </c>
      <c r="E45" s="37">
        <v>65728.009999999995</v>
      </c>
      <c r="F45" s="27"/>
    </row>
    <row r="46" spans="1:6" ht="12.75" customHeight="1" x14ac:dyDescent="0.2">
      <c r="A46" t="s">
        <v>71</v>
      </c>
      <c r="B46" s="37">
        <v>500000</v>
      </c>
      <c r="C46" s="37">
        <v>125000.01</v>
      </c>
      <c r="D46" s="26">
        <v>0</v>
      </c>
      <c r="E46" s="42">
        <v>-125000.01</v>
      </c>
      <c r="F46" s="27"/>
    </row>
    <row r="47" spans="1:6" ht="12.75" customHeight="1" x14ac:dyDescent="0.35">
      <c r="A47" t="s">
        <v>79</v>
      </c>
      <c r="B47" s="37">
        <v>160000</v>
      </c>
      <c r="C47" s="37">
        <v>39999.99</v>
      </c>
      <c r="D47" s="26">
        <v>0</v>
      </c>
      <c r="E47" s="42">
        <v>-39999.99</v>
      </c>
      <c r="F47" s="25"/>
    </row>
    <row r="48" spans="1:6" ht="12.75" customHeight="1" x14ac:dyDescent="0.2">
      <c r="A48" t="s">
        <v>82</v>
      </c>
      <c r="B48" s="37">
        <v>108000</v>
      </c>
      <c r="C48" s="37">
        <v>27000</v>
      </c>
      <c r="D48" s="37">
        <v>48003.15</v>
      </c>
      <c r="E48" s="37">
        <v>21003.15</v>
      </c>
      <c r="F48" s="27"/>
    </row>
    <row r="49" spans="1:6" ht="12.75" customHeight="1" x14ac:dyDescent="0.2">
      <c r="A49" t="s">
        <v>84</v>
      </c>
      <c r="B49" s="37">
        <v>10000</v>
      </c>
      <c r="C49" s="37">
        <v>2499.9899999999998</v>
      </c>
      <c r="D49" s="37">
        <v>2558.9</v>
      </c>
      <c r="E49" s="26">
        <v>58.91</v>
      </c>
      <c r="F49" s="27"/>
    </row>
    <row r="50" spans="1:6" ht="12.75" customHeight="1" x14ac:dyDescent="0.35">
      <c r="A50" t="s">
        <v>85</v>
      </c>
      <c r="B50" s="39">
        <v>375000</v>
      </c>
      <c r="C50" s="39">
        <v>93750</v>
      </c>
      <c r="D50" s="38">
        <v>0</v>
      </c>
      <c r="E50" s="43">
        <v>-93750</v>
      </c>
      <c r="F50" s="27"/>
    </row>
    <row r="51" spans="1:6" ht="12.75" customHeight="1" x14ac:dyDescent="0.35">
      <c r="A51" t="s">
        <v>87</v>
      </c>
      <c r="B51" s="37">
        <v>1253000</v>
      </c>
      <c r="C51" s="37">
        <v>313249.98</v>
      </c>
      <c r="D51" s="37">
        <v>141290.04999999999</v>
      </c>
      <c r="E51" s="42">
        <v>-171959.93</v>
      </c>
      <c r="F51" s="25"/>
    </row>
    <row r="52" spans="1:6" ht="12.75" customHeight="1" x14ac:dyDescent="0.2">
      <c r="A52" t="s">
        <v>89</v>
      </c>
      <c r="B52" s="26"/>
      <c r="C52" s="26"/>
      <c r="D52" s="26"/>
      <c r="E52" s="26"/>
      <c r="F52" s="27"/>
    </row>
    <row r="53" spans="1:6" ht="12.75" customHeight="1" x14ac:dyDescent="0.35">
      <c r="A53" t="s">
        <v>90</v>
      </c>
      <c r="B53" s="26">
        <v>0</v>
      </c>
      <c r="C53" s="26">
        <v>0</v>
      </c>
      <c r="D53" s="37">
        <v>1000</v>
      </c>
      <c r="E53" s="37">
        <v>1000</v>
      </c>
      <c r="F53" s="25"/>
    </row>
    <row r="54" spans="1:6" ht="12.75" customHeight="1" x14ac:dyDescent="0.35">
      <c r="A54" t="s">
        <v>91</v>
      </c>
      <c r="B54" s="39">
        <v>225000</v>
      </c>
      <c r="C54" s="39">
        <v>56250</v>
      </c>
      <c r="D54" s="39">
        <v>18613</v>
      </c>
      <c r="E54" s="43">
        <v>-37637</v>
      </c>
      <c r="F54" s="25"/>
    </row>
    <row r="55" spans="1:6" x14ac:dyDescent="0.2">
      <c r="A55" t="s">
        <v>92</v>
      </c>
      <c r="B55" s="37">
        <v>225000</v>
      </c>
      <c r="C55" s="37">
        <v>56250</v>
      </c>
      <c r="D55" s="37">
        <v>19613</v>
      </c>
      <c r="E55" s="42">
        <v>-36637</v>
      </c>
      <c r="F55" s="27"/>
    </row>
    <row r="56" spans="1:6" ht="12.75" customHeight="1" x14ac:dyDescent="0.2">
      <c r="A56" t="s">
        <v>101</v>
      </c>
      <c r="B56" s="37">
        <v>124792</v>
      </c>
      <c r="C56" s="37">
        <v>31197.99</v>
      </c>
      <c r="D56" s="37">
        <v>18818</v>
      </c>
      <c r="E56" s="42">
        <v>-12379.99</v>
      </c>
      <c r="F56" s="27"/>
    </row>
    <row r="57" spans="1:6" ht="12.75" customHeight="1" x14ac:dyDescent="0.35">
      <c r="A57" t="s">
        <v>103</v>
      </c>
      <c r="B57" s="38">
        <v>0</v>
      </c>
      <c r="C57" s="38">
        <v>0</v>
      </c>
      <c r="D57" s="38">
        <v>75</v>
      </c>
      <c r="E57" s="38">
        <v>75</v>
      </c>
      <c r="F57" s="27"/>
    </row>
    <row r="58" spans="1:6" s="36" customFormat="1" ht="12.75" customHeight="1" x14ac:dyDescent="0.35">
      <c r="A58" s="47" t="s">
        <v>107</v>
      </c>
      <c r="B58" s="54">
        <v>1602792</v>
      </c>
      <c r="C58" s="54">
        <v>400697.97</v>
      </c>
      <c r="D58" s="54">
        <v>179796.05</v>
      </c>
      <c r="E58" s="54">
        <v>-220901.92</v>
      </c>
      <c r="F58" s="18"/>
    </row>
    <row r="59" spans="1:6" ht="12.75" customHeight="1" x14ac:dyDescent="0.2">
      <c r="A59"/>
      <c r="B59" s="26"/>
      <c r="C59" s="26"/>
      <c r="D59" s="26"/>
      <c r="E59" s="26"/>
      <c r="F59" s="27"/>
    </row>
    <row r="60" spans="1:6" ht="12.75" customHeight="1" x14ac:dyDescent="0.2">
      <c r="A60" t="s">
        <v>108</v>
      </c>
      <c r="B60" s="26"/>
      <c r="C60" s="26"/>
      <c r="D60" s="26"/>
      <c r="E60" s="26"/>
      <c r="F60" s="27"/>
    </row>
    <row r="61" spans="1:6" ht="12.75" customHeight="1" x14ac:dyDescent="0.2">
      <c r="A61" t="s">
        <v>109</v>
      </c>
      <c r="B61" s="37">
        <v>355187</v>
      </c>
      <c r="C61" s="37">
        <v>88796.76</v>
      </c>
      <c r="D61" s="37">
        <v>84517.74</v>
      </c>
      <c r="E61" s="37">
        <v>4279.0200000000004</v>
      </c>
      <c r="F61" s="27"/>
    </row>
    <row r="62" spans="1:6" ht="12.75" customHeight="1" x14ac:dyDescent="0.2">
      <c r="A62" t="s">
        <v>110</v>
      </c>
      <c r="B62" s="26"/>
      <c r="C62" s="26"/>
      <c r="D62" s="26"/>
      <c r="E62" s="26"/>
      <c r="F62" s="27"/>
    </row>
    <row r="63" spans="1:6" ht="12.75" customHeight="1" x14ac:dyDescent="0.35">
      <c r="A63" t="s">
        <v>115</v>
      </c>
      <c r="B63" s="38">
        <v>0</v>
      </c>
      <c r="C63" s="38">
        <v>0</v>
      </c>
      <c r="D63" s="38">
        <v>23.97</v>
      </c>
      <c r="E63" s="40">
        <v>-23.97</v>
      </c>
      <c r="F63" s="27"/>
    </row>
    <row r="64" spans="1:6" ht="12.75" customHeight="1" x14ac:dyDescent="0.2">
      <c r="A64" t="s">
        <v>117</v>
      </c>
      <c r="B64" s="26">
        <v>0</v>
      </c>
      <c r="C64" s="26">
        <v>0</v>
      </c>
      <c r="D64" s="26">
        <v>23.97</v>
      </c>
      <c r="E64" s="41">
        <v>-23.97</v>
      </c>
      <c r="F64" s="27"/>
    </row>
    <row r="65" spans="1:6" ht="12.75" customHeight="1" x14ac:dyDescent="0.2">
      <c r="A65" t="s">
        <v>118</v>
      </c>
      <c r="B65" s="37">
        <v>509580</v>
      </c>
      <c r="C65" s="37">
        <v>127395</v>
      </c>
      <c r="D65" s="37">
        <v>50028.18</v>
      </c>
      <c r="E65" s="37">
        <v>77366.820000000007</v>
      </c>
      <c r="F65" s="27"/>
    </row>
    <row r="66" spans="1:6" ht="12.75" customHeight="1" x14ac:dyDescent="0.2">
      <c r="A66" t="s">
        <v>121</v>
      </c>
      <c r="B66" s="37">
        <v>225000</v>
      </c>
      <c r="C66" s="37">
        <v>56250</v>
      </c>
      <c r="D66" s="37">
        <v>41309.5</v>
      </c>
      <c r="E66" s="37">
        <v>14940.5</v>
      </c>
      <c r="F66" s="27"/>
    </row>
    <row r="67" spans="1:6" ht="12.75" customHeight="1" x14ac:dyDescent="0.2">
      <c r="A67" t="s">
        <v>123</v>
      </c>
      <c r="B67" s="37">
        <v>8000</v>
      </c>
      <c r="C67" s="37">
        <v>2000.01</v>
      </c>
      <c r="D67" s="26">
        <v>0</v>
      </c>
      <c r="E67" s="37">
        <v>2000.01</v>
      </c>
      <c r="F67" s="27"/>
    </row>
    <row r="68" spans="1:6" ht="12.75" customHeight="1" x14ac:dyDescent="0.2">
      <c r="A68" t="s">
        <v>124</v>
      </c>
      <c r="B68" s="37">
        <v>17500</v>
      </c>
      <c r="C68" s="37">
        <v>4374.99</v>
      </c>
      <c r="D68" s="26">
        <v>838.06</v>
      </c>
      <c r="E68" s="37">
        <v>3536.93</v>
      </c>
      <c r="F68" s="27"/>
    </row>
    <row r="69" spans="1:6" ht="12.75" customHeight="1" x14ac:dyDescent="0.2">
      <c r="A69" t="s">
        <v>125</v>
      </c>
      <c r="B69" s="37">
        <v>1090</v>
      </c>
      <c r="C69" s="26">
        <v>272.52</v>
      </c>
      <c r="D69" s="26">
        <v>157.76</v>
      </c>
      <c r="E69" s="26">
        <v>114.76</v>
      </c>
      <c r="F69" s="27"/>
    </row>
    <row r="70" spans="1:6" ht="12.75" customHeight="1" x14ac:dyDescent="0.2">
      <c r="A70" t="s">
        <v>127</v>
      </c>
      <c r="B70" s="37">
        <v>5085</v>
      </c>
      <c r="C70" s="37">
        <v>1271.25</v>
      </c>
      <c r="D70" s="26">
        <v>660.38</v>
      </c>
      <c r="E70" s="26">
        <v>610.87</v>
      </c>
      <c r="F70" s="27"/>
    </row>
    <row r="71" spans="1:6" ht="12.75" customHeight="1" x14ac:dyDescent="0.2">
      <c r="A71" t="s">
        <v>128</v>
      </c>
      <c r="B71" s="37">
        <v>1500</v>
      </c>
      <c r="C71" s="26">
        <v>375</v>
      </c>
      <c r="D71" s="26">
        <v>0</v>
      </c>
      <c r="E71" s="26">
        <v>375</v>
      </c>
      <c r="F71" s="27"/>
    </row>
    <row r="72" spans="1:6" ht="12.75" customHeight="1" x14ac:dyDescent="0.2">
      <c r="A72" t="s">
        <v>129</v>
      </c>
      <c r="B72" s="37">
        <v>2732</v>
      </c>
      <c r="C72" s="26">
        <v>683.01</v>
      </c>
      <c r="D72" s="26">
        <v>763.13</v>
      </c>
      <c r="E72" s="41">
        <v>-80.12</v>
      </c>
      <c r="F72" s="27"/>
    </row>
    <row r="73" spans="1:6" ht="12.75" customHeight="1" x14ac:dyDescent="0.2">
      <c r="A73" t="s">
        <v>131</v>
      </c>
      <c r="B73" s="37">
        <v>7340</v>
      </c>
      <c r="C73" s="37">
        <v>1835.01</v>
      </c>
      <c r="D73" s="26">
        <v>170.91</v>
      </c>
      <c r="E73" s="37">
        <v>1664.1</v>
      </c>
      <c r="F73" s="27"/>
    </row>
    <row r="74" spans="1:6" ht="12.75" customHeight="1" x14ac:dyDescent="0.35">
      <c r="A74" t="s">
        <v>132</v>
      </c>
      <c r="B74" s="37">
        <v>2453</v>
      </c>
      <c r="C74" s="26">
        <v>613.26</v>
      </c>
      <c r="D74" s="26">
        <v>730.4</v>
      </c>
      <c r="E74" s="41">
        <v>-117.14</v>
      </c>
      <c r="F74" s="25"/>
    </row>
    <row r="75" spans="1:6" ht="12.75" customHeight="1" x14ac:dyDescent="0.35">
      <c r="A75" t="s">
        <v>133</v>
      </c>
      <c r="B75" s="37">
        <v>10000</v>
      </c>
      <c r="C75" s="37">
        <v>2500.02</v>
      </c>
      <c r="D75" s="37">
        <v>1597.7</v>
      </c>
      <c r="E75" s="26">
        <v>902.32</v>
      </c>
      <c r="F75" s="25"/>
    </row>
    <row r="76" spans="1:6" x14ac:dyDescent="0.2">
      <c r="A76" t="s">
        <v>134</v>
      </c>
      <c r="B76" s="37">
        <v>2283</v>
      </c>
      <c r="C76" s="26">
        <v>570.75</v>
      </c>
      <c r="D76" s="26">
        <v>952.31</v>
      </c>
      <c r="E76" s="41">
        <v>-381.56</v>
      </c>
      <c r="F76" s="27"/>
    </row>
    <row r="77" spans="1:6" ht="12" x14ac:dyDescent="0.35">
      <c r="A77" t="s">
        <v>135</v>
      </c>
      <c r="B77" s="26">
        <v>331</v>
      </c>
      <c r="C77" s="26">
        <v>82.74</v>
      </c>
      <c r="D77" s="26">
        <v>226.17</v>
      </c>
      <c r="E77" s="41">
        <v>-143.43</v>
      </c>
      <c r="F77" s="28"/>
    </row>
    <row r="78" spans="1:6" x14ac:dyDescent="0.2">
      <c r="A78" t="s">
        <v>136</v>
      </c>
      <c r="B78" s="37">
        <v>7122</v>
      </c>
      <c r="C78" s="37">
        <v>1780.5</v>
      </c>
      <c r="D78" s="37">
        <v>1757.38</v>
      </c>
      <c r="E78" s="26">
        <v>23.12</v>
      </c>
      <c r="F78"/>
    </row>
    <row r="79" spans="1:6" s="31" customFormat="1" ht="13.2" x14ac:dyDescent="0.25">
      <c r="A79" t="s">
        <v>137</v>
      </c>
      <c r="B79" s="37">
        <v>3777</v>
      </c>
      <c r="C79" s="26">
        <v>944.25</v>
      </c>
      <c r="D79" s="26">
        <v>570.46</v>
      </c>
      <c r="E79" s="26">
        <v>373.79</v>
      </c>
      <c r="F79" s="30"/>
    </row>
    <row r="80" spans="1:6" x14ac:dyDescent="0.2">
      <c r="A80" t="s">
        <v>138</v>
      </c>
      <c r="B80" s="26">
        <v>0</v>
      </c>
      <c r="C80" s="26">
        <v>0</v>
      </c>
      <c r="D80" s="26">
        <v>21.2</v>
      </c>
      <c r="E80" s="41">
        <v>-21.2</v>
      </c>
      <c r="F80"/>
    </row>
    <row r="81" spans="1:6" ht="25.5" customHeight="1" x14ac:dyDescent="0.35">
      <c r="A81" t="s">
        <v>141</v>
      </c>
      <c r="B81" s="26">
        <v>150</v>
      </c>
      <c r="C81" s="26">
        <v>37.5</v>
      </c>
      <c r="D81" s="26">
        <v>0</v>
      </c>
      <c r="E81" s="26">
        <v>37.5</v>
      </c>
      <c r="F81" s="25"/>
    </row>
    <row r="82" spans="1:6" ht="12" x14ac:dyDescent="0.35">
      <c r="A82" t="s">
        <v>142</v>
      </c>
      <c r="B82" s="39">
        <v>160313</v>
      </c>
      <c r="C82" s="39">
        <v>40078.26</v>
      </c>
      <c r="D82" s="39">
        <v>46324.88</v>
      </c>
      <c r="E82" s="43">
        <v>-6246.62</v>
      </c>
      <c r="F82"/>
    </row>
    <row r="83" spans="1:6" s="36" customFormat="1" ht="12.75" customHeight="1" x14ac:dyDescent="0.35">
      <c r="A83" s="47" t="s">
        <v>143</v>
      </c>
      <c r="B83" s="54">
        <v>1319443</v>
      </c>
      <c r="C83" s="54">
        <v>329860.83</v>
      </c>
      <c r="D83" s="54">
        <v>230650.13</v>
      </c>
      <c r="E83" s="54">
        <v>99210.7</v>
      </c>
      <c r="F83" s="18"/>
    </row>
    <row r="84" spans="1:6" ht="12.75" customHeight="1" x14ac:dyDescent="0.2">
      <c r="A84"/>
      <c r="B84" s="26"/>
      <c r="C84" s="26"/>
      <c r="D84" s="26"/>
      <c r="E84" s="26"/>
      <c r="F84" s="27"/>
    </row>
    <row r="85" spans="1:6" s="36" customFormat="1" ht="12.75" customHeight="1" x14ac:dyDescent="0.35">
      <c r="A85" s="47" t="s">
        <v>144</v>
      </c>
      <c r="B85" s="49">
        <v>283349</v>
      </c>
      <c r="C85" s="49">
        <v>70837.14</v>
      </c>
      <c r="D85" s="48">
        <v>-50854.080000000002</v>
      </c>
      <c r="E85" s="48">
        <v>-121691.22</v>
      </c>
      <c r="F85" s="18"/>
    </row>
    <row r="86" spans="1:6" ht="12.75" customHeight="1" x14ac:dyDescent="0.2">
      <c r="A86"/>
      <c r="B86"/>
      <c r="C86" s="26"/>
      <c r="D86"/>
      <c r="E86" s="26"/>
      <c r="F86" s="27"/>
    </row>
    <row r="87" spans="1:6" ht="12.75" customHeight="1" x14ac:dyDescent="0.35">
      <c r="A87" s="46" t="s">
        <v>78</v>
      </c>
      <c r="B87" s="44"/>
      <c r="C87" s="45"/>
      <c r="D87" s="44"/>
      <c r="E87" s="45"/>
      <c r="F87" s="25"/>
    </row>
    <row r="88" spans="1:6" ht="12.75" customHeight="1" x14ac:dyDescent="0.2">
      <c r="A88"/>
      <c r="B88"/>
      <c r="C88" s="26"/>
      <c r="D88"/>
      <c r="E88" s="26"/>
      <c r="F88" s="27"/>
    </row>
    <row r="89" spans="1:6" ht="24" x14ac:dyDescent="0.35">
      <c r="A89"/>
      <c r="B89" s="50" t="s">
        <v>164</v>
      </c>
      <c r="C89" s="50" t="s">
        <v>165</v>
      </c>
      <c r="D89" s="50" t="s">
        <v>166</v>
      </c>
      <c r="E89" s="50" t="s">
        <v>167</v>
      </c>
      <c r="F89" s="27"/>
    </row>
    <row r="90" spans="1:6" ht="12.75" customHeight="1" x14ac:dyDescent="0.35">
      <c r="A90"/>
      <c r="B90"/>
      <c r="C90" s="26"/>
      <c r="D90"/>
      <c r="E90" s="26"/>
      <c r="F90" s="25"/>
    </row>
    <row r="91" spans="1:6" ht="12.75" customHeight="1" x14ac:dyDescent="0.2">
      <c r="A91" t="s">
        <v>59</v>
      </c>
      <c r="B91" s="26"/>
      <c r="C91" s="26"/>
      <c r="D91" s="26"/>
      <c r="E91" s="26"/>
      <c r="F91" s="27"/>
    </row>
    <row r="92" spans="1:6" ht="12.75" customHeight="1" x14ac:dyDescent="0.2">
      <c r="A92" t="s">
        <v>168</v>
      </c>
      <c r="B92" s="26"/>
      <c r="C92" s="26"/>
      <c r="D92" s="26"/>
      <c r="E92" s="26"/>
      <c r="F92" s="27"/>
    </row>
    <row r="93" spans="1:6" ht="12.75" customHeight="1" x14ac:dyDescent="0.35">
      <c r="A93" t="s">
        <v>61</v>
      </c>
      <c r="B93" s="37">
        <v>65065</v>
      </c>
      <c r="C93" s="37">
        <v>16266.24</v>
      </c>
      <c r="D93" s="37">
        <v>10784</v>
      </c>
      <c r="E93" s="42">
        <v>-5482.24</v>
      </c>
      <c r="F93" s="25"/>
    </row>
    <row r="94" spans="1:6" ht="12.75" customHeight="1" x14ac:dyDescent="0.35">
      <c r="A94" t="s">
        <v>65</v>
      </c>
      <c r="B94" s="37">
        <v>40000</v>
      </c>
      <c r="C94" s="37">
        <v>9999.99</v>
      </c>
      <c r="D94" s="37">
        <v>4960.3500000000004</v>
      </c>
      <c r="E94" s="42">
        <v>-5039.6400000000003</v>
      </c>
      <c r="F94" s="25"/>
    </row>
    <row r="95" spans="1:6" ht="12" x14ac:dyDescent="0.35">
      <c r="A95" t="s">
        <v>77</v>
      </c>
      <c r="B95" s="39">
        <v>15000</v>
      </c>
      <c r="C95" s="39">
        <v>3750</v>
      </c>
      <c r="D95" s="38">
        <v>0</v>
      </c>
      <c r="E95" s="43">
        <v>-3750</v>
      </c>
      <c r="F95" s="27"/>
    </row>
    <row r="96" spans="1:6" ht="12.75" customHeight="1" x14ac:dyDescent="0.2">
      <c r="A96" t="s">
        <v>87</v>
      </c>
      <c r="B96" s="37">
        <v>120065</v>
      </c>
      <c r="C96" s="37">
        <v>30016.23</v>
      </c>
      <c r="D96" s="37">
        <v>15744.35</v>
      </c>
      <c r="E96" s="42">
        <v>-14271.88</v>
      </c>
      <c r="F96" s="27"/>
    </row>
    <row r="97" spans="1:6" ht="12.75" customHeight="1" x14ac:dyDescent="0.2">
      <c r="A97" t="s">
        <v>89</v>
      </c>
      <c r="B97" s="26"/>
      <c r="C97" s="26"/>
      <c r="D97" s="26"/>
      <c r="E97" s="26"/>
      <c r="F97" s="27"/>
    </row>
    <row r="98" spans="1:6" ht="12.75" customHeight="1" x14ac:dyDescent="0.35">
      <c r="A98" t="s">
        <v>90</v>
      </c>
      <c r="B98" s="39">
        <v>9000</v>
      </c>
      <c r="C98" s="39">
        <v>2250</v>
      </c>
      <c r="D98" s="38">
        <v>0</v>
      </c>
      <c r="E98" s="43">
        <v>-2250</v>
      </c>
      <c r="F98" s="27"/>
    </row>
    <row r="99" spans="1:6" ht="12.75" customHeight="1" x14ac:dyDescent="0.2">
      <c r="A99" t="s">
        <v>92</v>
      </c>
      <c r="B99" s="37">
        <v>9000</v>
      </c>
      <c r="C99" s="37">
        <v>2250</v>
      </c>
      <c r="D99" s="26">
        <v>0</v>
      </c>
      <c r="E99" s="42">
        <v>-2250</v>
      </c>
      <c r="F99" s="27"/>
    </row>
    <row r="100" spans="1:6" ht="12.75" customHeight="1" x14ac:dyDescent="0.2">
      <c r="A100" t="s">
        <v>93</v>
      </c>
      <c r="B100" s="37">
        <v>155506</v>
      </c>
      <c r="C100" s="37">
        <v>38876.519999999997</v>
      </c>
      <c r="D100" s="37">
        <v>28534.28</v>
      </c>
      <c r="E100" s="42">
        <v>-10342.24</v>
      </c>
      <c r="F100" s="27"/>
    </row>
    <row r="101" spans="1:6" ht="12.75" customHeight="1" x14ac:dyDescent="0.35">
      <c r="A101" t="s">
        <v>104</v>
      </c>
      <c r="B101" s="39">
        <v>350966</v>
      </c>
      <c r="C101" s="39">
        <v>87741.51</v>
      </c>
      <c r="D101" s="39">
        <v>101209.94</v>
      </c>
      <c r="E101" s="39">
        <v>13468.43</v>
      </c>
      <c r="F101" s="27"/>
    </row>
    <row r="102" spans="1:6" s="36" customFormat="1" ht="12.75" customHeight="1" x14ac:dyDescent="0.35">
      <c r="A102" s="47" t="s">
        <v>107</v>
      </c>
      <c r="B102" s="54">
        <v>635537</v>
      </c>
      <c r="C102" s="54">
        <v>158884.26</v>
      </c>
      <c r="D102" s="54">
        <v>145488.57</v>
      </c>
      <c r="E102" s="54">
        <v>-13395.69</v>
      </c>
      <c r="F102" s="35"/>
    </row>
    <row r="103" spans="1:6" ht="12.75" customHeight="1" x14ac:dyDescent="0.2">
      <c r="A103"/>
      <c r="B103" s="26"/>
      <c r="C103" s="26"/>
      <c r="D103" s="26"/>
      <c r="E103" s="26"/>
      <c r="F103" s="27"/>
    </row>
    <row r="104" spans="1:6" ht="12.75" customHeight="1" x14ac:dyDescent="0.2">
      <c r="A104" t="s">
        <v>108</v>
      </c>
      <c r="B104" s="26"/>
      <c r="C104" s="26"/>
      <c r="D104" s="26"/>
      <c r="E104" s="26"/>
      <c r="F104" s="27"/>
    </row>
    <row r="105" spans="1:6" ht="12.75" customHeight="1" x14ac:dyDescent="0.2">
      <c r="A105" t="s">
        <v>109</v>
      </c>
      <c r="B105" s="37">
        <v>329416</v>
      </c>
      <c r="C105" s="37">
        <v>82353.990000000005</v>
      </c>
      <c r="D105" s="37">
        <v>86076.2</v>
      </c>
      <c r="E105" s="42">
        <v>-3722.21</v>
      </c>
      <c r="F105" s="27"/>
    </row>
    <row r="106" spans="1:6" ht="12.75" customHeight="1" x14ac:dyDescent="0.2">
      <c r="A106" t="s">
        <v>110</v>
      </c>
      <c r="B106" s="26"/>
      <c r="C106" s="26"/>
      <c r="D106" s="26"/>
      <c r="E106" s="26"/>
      <c r="F106" s="27"/>
    </row>
    <row r="107" spans="1:6" ht="12.75" customHeight="1" x14ac:dyDescent="0.2">
      <c r="A107" t="s">
        <v>111</v>
      </c>
      <c r="B107" s="37">
        <v>14355</v>
      </c>
      <c r="C107" s="37">
        <v>3588.75</v>
      </c>
      <c r="D107" s="37">
        <v>1744.85</v>
      </c>
      <c r="E107" s="37">
        <v>1843.9</v>
      </c>
      <c r="F107" s="27"/>
    </row>
    <row r="108" spans="1:6" ht="12.75" customHeight="1" x14ac:dyDescent="0.2">
      <c r="A108" t="s">
        <v>112</v>
      </c>
      <c r="B108" s="26">
        <v>70</v>
      </c>
      <c r="C108" s="26">
        <v>17.489999999999998</v>
      </c>
      <c r="D108" s="26">
        <v>345</v>
      </c>
      <c r="E108" s="41">
        <v>-327.51</v>
      </c>
      <c r="F108" s="27"/>
    </row>
    <row r="109" spans="1:6" ht="12.75" customHeight="1" x14ac:dyDescent="0.2">
      <c r="A109" t="s">
        <v>113</v>
      </c>
      <c r="B109" s="26">
        <v>75</v>
      </c>
      <c r="C109" s="26">
        <v>18.75</v>
      </c>
      <c r="D109" s="26">
        <v>0</v>
      </c>
      <c r="E109" s="26">
        <v>18.75</v>
      </c>
      <c r="F109" s="27"/>
    </row>
    <row r="110" spans="1:6" ht="12.75" customHeight="1" x14ac:dyDescent="0.35">
      <c r="A110" t="s">
        <v>115</v>
      </c>
      <c r="B110" s="38">
        <v>0</v>
      </c>
      <c r="C110" s="38">
        <v>0</v>
      </c>
      <c r="D110" s="38">
        <v>54.53</v>
      </c>
      <c r="E110" s="40">
        <v>-54.53</v>
      </c>
      <c r="F110" s="27"/>
    </row>
    <row r="111" spans="1:6" ht="12.75" customHeight="1" x14ac:dyDescent="0.2">
      <c r="A111" t="s">
        <v>117</v>
      </c>
      <c r="B111" s="37">
        <v>14500</v>
      </c>
      <c r="C111" s="37">
        <v>3624.99</v>
      </c>
      <c r="D111" s="37">
        <v>2144.38</v>
      </c>
      <c r="E111" s="37">
        <v>1480.61</v>
      </c>
      <c r="F111" s="27"/>
    </row>
    <row r="112" spans="1:6" ht="12.75" customHeight="1" x14ac:dyDescent="0.2">
      <c r="A112" t="s">
        <v>118</v>
      </c>
      <c r="B112" s="37">
        <v>40000</v>
      </c>
      <c r="C112" s="37">
        <v>9999.99</v>
      </c>
      <c r="D112" s="26">
        <v>0</v>
      </c>
      <c r="E112" s="37">
        <v>9999.99</v>
      </c>
      <c r="F112" s="27"/>
    </row>
    <row r="113" spans="1:6" ht="12.75" customHeight="1" x14ac:dyDescent="0.2">
      <c r="A113" t="s">
        <v>120</v>
      </c>
      <c r="B113" s="37">
        <v>32000</v>
      </c>
      <c r="C113" s="37">
        <v>8000.01</v>
      </c>
      <c r="D113" s="26">
        <v>0</v>
      </c>
      <c r="E113" s="37">
        <v>8000.01</v>
      </c>
      <c r="F113" s="27"/>
    </row>
    <row r="114" spans="1:6" ht="12.75" customHeight="1" x14ac:dyDescent="0.2">
      <c r="A114" t="s">
        <v>124</v>
      </c>
      <c r="B114" s="26">
        <v>500</v>
      </c>
      <c r="C114" s="26">
        <v>125.01</v>
      </c>
      <c r="D114" s="26">
        <v>0</v>
      </c>
      <c r="E114" s="26">
        <v>125.01</v>
      </c>
      <c r="F114" s="27"/>
    </row>
    <row r="115" spans="1:6" ht="12.75" customHeight="1" x14ac:dyDescent="0.2">
      <c r="A115" t="s">
        <v>125</v>
      </c>
      <c r="B115" s="26">
        <v>810</v>
      </c>
      <c r="C115" s="26">
        <v>202.5</v>
      </c>
      <c r="D115" s="26">
        <v>128.6</v>
      </c>
      <c r="E115" s="26">
        <v>73.900000000000006</v>
      </c>
      <c r="F115" s="27"/>
    </row>
    <row r="116" spans="1:6" ht="12.75" customHeight="1" x14ac:dyDescent="0.2">
      <c r="A116" t="s">
        <v>127</v>
      </c>
      <c r="B116" s="37">
        <v>1379</v>
      </c>
      <c r="C116" s="26">
        <v>344.76</v>
      </c>
      <c r="D116" s="26">
        <v>246.75</v>
      </c>
      <c r="E116" s="26">
        <v>98.01</v>
      </c>
      <c r="F116" s="27"/>
    </row>
    <row r="117" spans="1:6" ht="12.75" customHeight="1" x14ac:dyDescent="0.2">
      <c r="A117" t="s">
        <v>128</v>
      </c>
      <c r="B117" s="37">
        <v>1500</v>
      </c>
      <c r="C117" s="26">
        <v>375</v>
      </c>
      <c r="D117" s="26">
        <v>0</v>
      </c>
      <c r="E117" s="26">
        <v>375</v>
      </c>
      <c r="F117" s="27"/>
    </row>
    <row r="118" spans="1:6" ht="12.75" customHeight="1" x14ac:dyDescent="0.2">
      <c r="A118" t="s">
        <v>129</v>
      </c>
      <c r="B118" s="37">
        <v>7427</v>
      </c>
      <c r="C118" s="37">
        <v>1856.76</v>
      </c>
      <c r="D118" s="37">
        <v>1434.34</v>
      </c>
      <c r="E118" s="26">
        <v>422.42</v>
      </c>
      <c r="F118" s="27"/>
    </row>
    <row r="119" spans="1:6" ht="12.75" customHeight="1" x14ac:dyDescent="0.2">
      <c r="A119" t="s">
        <v>131</v>
      </c>
      <c r="B119" s="37">
        <v>3200</v>
      </c>
      <c r="C119" s="26">
        <v>800.01</v>
      </c>
      <c r="D119" s="26">
        <v>797.73</v>
      </c>
      <c r="E119" s="26">
        <v>2.2799999999999998</v>
      </c>
      <c r="F119" s="27"/>
    </row>
    <row r="120" spans="1:6" ht="12.75" customHeight="1" x14ac:dyDescent="0.35">
      <c r="A120" t="s">
        <v>132</v>
      </c>
      <c r="B120" s="37">
        <v>1265</v>
      </c>
      <c r="C120" s="26">
        <v>316.23</v>
      </c>
      <c r="D120" s="26">
        <v>183.63</v>
      </c>
      <c r="E120" s="26">
        <v>132.6</v>
      </c>
      <c r="F120" s="25"/>
    </row>
    <row r="121" spans="1:6" ht="12.75" customHeight="1" x14ac:dyDescent="0.35">
      <c r="A121" t="s">
        <v>133</v>
      </c>
      <c r="B121" s="37">
        <v>3000</v>
      </c>
      <c r="C121" s="26">
        <v>750</v>
      </c>
      <c r="D121" s="26">
        <v>358.33</v>
      </c>
      <c r="E121" s="26">
        <v>391.67</v>
      </c>
      <c r="F121" s="25"/>
    </row>
    <row r="122" spans="1:6" x14ac:dyDescent="0.2">
      <c r="A122" t="s">
        <v>134</v>
      </c>
      <c r="B122" s="37">
        <v>1703</v>
      </c>
      <c r="C122" s="26">
        <v>425.76</v>
      </c>
      <c r="D122" s="26">
        <v>428.65</v>
      </c>
      <c r="E122" s="41">
        <v>-2.89</v>
      </c>
      <c r="F122" s="27"/>
    </row>
    <row r="123" spans="1:6" ht="12" x14ac:dyDescent="0.35">
      <c r="A123" t="s">
        <v>135</v>
      </c>
      <c r="B123" s="26">
        <v>901</v>
      </c>
      <c r="C123" s="26">
        <v>225.24</v>
      </c>
      <c r="D123" s="26">
        <v>239.37</v>
      </c>
      <c r="E123" s="41">
        <v>-14.13</v>
      </c>
      <c r="F123" s="28"/>
    </row>
    <row r="124" spans="1:6" x14ac:dyDescent="0.2">
      <c r="A124" t="s">
        <v>136</v>
      </c>
      <c r="B124" s="37">
        <v>9235</v>
      </c>
      <c r="C124" s="37">
        <v>2308.77</v>
      </c>
      <c r="D124" s="37">
        <v>3549.83</v>
      </c>
      <c r="E124" s="42">
        <v>-1241.06</v>
      </c>
      <c r="F124"/>
    </row>
    <row r="125" spans="1:6" s="31" customFormat="1" ht="13.2" x14ac:dyDescent="0.25">
      <c r="A125" t="s">
        <v>137</v>
      </c>
      <c r="B125" s="37">
        <v>2111</v>
      </c>
      <c r="C125" s="26">
        <v>527.76</v>
      </c>
      <c r="D125" s="26">
        <v>434.63</v>
      </c>
      <c r="E125" s="26">
        <v>93.13</v>
      </c>
      <c r="F125" s="30"/>
    </row>
    <row r="126" spans="1:6" x14ac:dyDescent="0.2">
      <c r="A126" t="s">
        <v>138</v>
      </c>
      <c r="B126" s="37">
        <v>2045</v>
      </c>
      <c r="C126" s="26">
        <v>511.26</v>
      </c>
      <c r="D126" s="26">
        <v>0</v>
      </c>
      <c r="E126" s="26">
        <v>511.26</v>
      </c>
      <c r="F126"/>
    </row>
    <row r="127" spans="1:6" ht="25.5" customHeight="1" x14ac:dyDescent="0.35">
      <c r="A127" t="s">
        <v>141</v>
      </c>
      <c r="B127" s="26">
        <v>150</v>
      </c>
      <c r="C127" s="26">
        <v>37.5</v>
      </c>
      <c r="D127" s="26">
        <v>0</v>
      </c>
      <c r="E127" s="26">
        <v>37.5</v>
      </c>
      <c r="F127" s="25"/>
    </row>
    <row r="128" spans="1:6" ht="12" x14ac:dyDescent="0.35">
      <c r="A128" t="s">
        <v>142</v>
      </c>
      <c r="B128" s="39">
        <v>101473</v>
      </c>
      <c r="C128" s="39">
        <v>25368.240000000002</v>
      </c>
      <c r="D128" s="39">
        <v>34623.22</v>
      </c>
      <c r="E128" s="43">
        <v>-9254.98</v>
      </c>
      <c r="F128"/>
    </row>
    <row r="129" spans="1:6" s="36" customFormat="1" ht="12.75" customHeight="1" x14ac:dyDescent="0.35">
      <c r="A129" s="47" t="s">
        <v>143</v>
      </c>
      <c r="B129" s="54">
        <v>552615</v>
      </c>
      <c r="C129" s="54">
        <v>138153.78</v>
      </c>
      <c r="D129" s="54">
        <v>130645.66</v>
      </c>
      <c r="E129" s="54">
        <v>7508.12</v>
      </c>
      <c r="F129" s="18"/>
    </row>
    <row r="130" spans="1:6" ht="12.75" customHeight="1" x14ac:dyDescent="0.2">
      <c r="A130"/>
      <c r="B130" s="26"/>
      <c r="C130" s="26"/>
      <c r="D130" s="26"/>
      <c r="E130" s="26"/>
      <c r="F130" s="27"/>
    </row>
    <row r="131" spans="1:6" s="36" customFormat="1" ht="12.75" customHeight="1" x14ac:dyDescent="0.35">
      <c r="A131" s="47" t="s">
        <v>144</v>
      </c>
      <c r="B131" s="49">
        <v>82922</v>
      </c>
      <c r="C131" s="49">
        <v>20730.48</v>
      </c>
      <c r="D131" s="49">
        <v>14842.91</v>
      </c>
      <c r="E131" s="48">
        <v>-5887.57</v>
      </c>
      <c r="F131" s="18"/>
    </row>
    <row r="132" spans="1:6" ht="12.75" customHeight="1" x14ac:dyDescent="0.2">
      <c r="A132"/>
      <c r="B132"/>
      <c r="C132" s="26"/>
      <c r="D132"/>
      <c r="E132" s="26"/>
      <c r="F132" s="27"/>
    </row>
    <row r="133" spans="1:6" ht="12.75" customHeight="1" x14ac:dyDescent="0.25">
      <c r="A133" s="46" t="s">
        <v>170</v>
      </c>
      <c r="B133" s="44"/>
      <c r="C133" s="45"/>
      <c r="D133" s="44"/>
      <c r="E133" s="45"/>
      <c r="F133" s="27"/>
    </row>
    <row r="134" spans="1:6" ht="12.75" customHeight="1" x14ac:dyDescent="0.35">
      <c r="A134"/>
      <c r="B134"/>
      <c r="C134" s="26"/>
      <c r="D134"/>
      <c r="E134" s="26"/>
      <c r="F134" s="25"/>
    </row>
    <row r="135" spans="1:6" ht="24" x14ac:dyDescent="0.35">
      <c r="A135"/>
      <c r="B135" s="50" t="s">
        <v>164</v>
      </c>
      <c r="C135" s="50" t="s">
        <v>165</v>
      </c>
      <c r="D135" s="50" t="s">
        <v>166</v>
      </c>
      <c r="E135" s="50" t="s">
        <v>167</v>
      </c>
      <c r="F135" s="27"/>
    </row>
    <row r="136" spans="1:6" ht="12.75" customHeight="1" x14ac:dyDescent="0.2">
      <c r="A136"/>
      <c r="B136"/>
      <c r="C136" s="26"/>
      <c r="D136"/>
      <c r="E136" s="26"/>
      <c r="F136" s="27"/>
    </row>
    <row r="137" spans="1:6" ht="12.75" customHeight="1" x14ac:dyDescent="0.35">
      <c r="A137" t="s">
        <v>59</v>
      </c>
      <c r="B137" s="26"/>
      <c r="C137" s="26"/>
      <c r="D137" s="26"/>
      <c r="E137" s="26"/>
      <c r="F137" s="25"/>
    </row>
    <row r="138" spans="1:6" ht="12.75" customHeight="1" x14ac:dyDescent="0.35">
      <c r="A138" t="s">
        <v>168</v>
      </c>
      <c r="B138" s="26"/>
      <c r="C138" s="26"/>
      <c r="D138" s="26"/>
      <c r="E138" s="26"/>
      <c r="F138" s="25"/>
    </row>
    <row r="139" spans="1:6" x14ac:dyDescent="0.2">
      <c r="A139" t="s">
        <v>61</v>
      </c>
      <c r="B139" s="37">
        <v>54113</v>
      </c>
      <c r="C139" s="37">
        <v>13528.26</v>
      </c>
      <c r="D139" s="37">
        <v>6146</v>
      </c>
      <c r="E139" s="42">
        <v>-7382.26</v>
      </c>
      <c r="F139" s="27"/>
    </row>
    <row r="140" spans="1:6" ht="12.75" customHeight="1" x14ac:dyDescent="0.2">
      <c r="A140" t="s">
        <v>72</v>
      </c>
      <c r="B140" s="37">
        <v>30499</v>
      </c>
      <c r="C140" s="37">
        <v>7624.74</v>
      </c>
      <c r="D140" s="26">
        <v>0</v>
      </c>
      <c r="E140" s="42">
        <v>-7624.74</v>
      </c>
      <c r="F140" s="27"/>
    </row>
    <row r="141" spans="1:6" ht="12.75" customHeight="1" x14ac:dyDescent="0.2">
      <c r="A141" t="s">
        <v>76</v>
      </c>
      <c r="B141" s="37">
        <v>12500</v>
      </c>
      <c r="C141" s="37">
        <v>3125.01</v>
      </c>
      <c r="D141" s="26">
        <v>0</v>
      </c>
      <c r="E141" s="42">
        <v>-3125.01</v>
      </c>
      <c r="F141" s="27"/>
    </row>
    <row r="142" spans="1:6" ht="12.75" customHeight="1" x14ac:dyDescent="0.35">
      <c r="A142" t="s">
        <v>80</v>
      </c>
      <c r="B142" s="39">
        <v>95827</v>
      </c>
      <c r="C142" s="39">
        <v>23956.74</v>
      </c>
      <c r="D142" s="39">
        <v>29669</v>
      </c>
      <c r="E142" s="39">
        <v>5712.26</v>
      </c>
      <c r="F142" s="27"/>
    </row>
    <row r="143" spans="1:6" ht="12.75" customHeight="1" x14ac:dyDescent="0.35">
      <c r="A143" t="s">
        <v>87</v>
      </c>
      <c r="B143" s="37">
        <v>192939</v>
      </c>
      <c r="C143" s="37">
        <v>48234.75</v>
      </c>
      <c r="D143" s="37">
        <v>35815</v>
      </c>
      <c r="E143" s="42">
        <v>-12419.75</v>
      </c>
      <c r="F143" s="25"/>
    </row>
    <row r="144" spans="1:6" ht="12.75" customHeight="1" x14ac:dyDescent="0.2">
      <c r="A144" t="s">
        <v>99</v>
      </c>
      <c r="B144" s="37">
        <v>18009</v>
      </c>
      <c r="C144" s="37">
        <v>4502.25</v>
      </c>
      <c r="D144" s="37">
        <v>4699</v>
      </c>
      <c r="E144" s="26">
        <v>196.75</v>
      </c>
      <c r="F144" s="27"/>
    </row>
    <row r="145" spans="1:6" ht="12.75" customHeight="1" x14ac:dyDescent="0.35">
      <c r="A145" t="s">
        <v>103</v>
      </c>
      <c r="B145" s="39">
        <v>1030</v>
      </c>
      <c r="C145" s="38">
        <v>257.49</v>
      </c>
      <c r="D145" s="38">
        <v>243.55</v>
      </c>
      <c r="E145" s="40">
        <v>-13.94</v>
      </c>
      <c r="F145" s="27"/>
    </row>
    <row r="146" spans="1:6" s="36" customFormat="1" ht="12.75" customHeight="1" x14ac:dyDescent="0.35">
      <c r="A146" s="47" t="s">
        <v>107</v>
      </c>
      <c r="B146" s="54">
        <v>211978</v>
      </c>
      <c r="C146" s="54">
        <v>52994.49</v>
      </c>
      <c r="D146" s="54">
        <v>40757.550000000003</v>
      </c>
      <c r="E146" s="54">
        <v>-12236.94</v>
      </c>
      <c r="F146" s="18"/>
    </row>
    <row r="147" spans="1:6" ht="12.75" customHeight="1" x14ac:dyDescent="0.2">
      <c r="A147"/>
      <c r="B147" s="26"/>
      <c r="C147" s="26"/>
      <c r="D147" s="26"/>
      <c r="E147" s="26"/>
      <c r="F147" s="27"/>
    </row>
    <row r="148" spans="1:6" ht="12.75" customHeight="1" x14ac:dyDescent="0.2">
      <c r="A148" t="s">
        <v>108</v>
      </c>
      <c r="B148" s="26"/>
      <c r="C148" s="26"/>
      <c r="D148" s="26"/>
      <c r="E148" s="26"/>
      <c r="F148" s="27"/>
    </row>
    <row r="149" spans="1:6" ht="12.75" customHeight="1" x14ac:dyDescent="0.2">
      <c r="A149" t="s">
        <v>109</v>
      </c>
      <c r="B149" s="37">
        <v>261438</v>
      </c>
      <c r="C149" s="37">
        <v>65359.5</v>
      </c>
      <c r="D149" s="37">
        <v>38982.39</v>
      </c>
      <c r="E149" s="37">
        <v>26377.11</v>
      </c>
      <c r="F149" s="27"/>
    </row>
    <row r="150" spans="1:6" ht="12.75" customHeight="1" x14ac:dyDescent="0.2">
      <c r="A150" t="s">
        <v>110</v>
      </c>
      <c r="B150" s="26"/>
      <c r="C150" s="26"/>
      <c r="D150" s="26"/>
      <c r="E150" s="26"/>
      <c r="F150" s="27"/>
    </row>
    <row r="151" spans="1:6" ht="12.75" customHeight="1" x14ac:dyDescent="0.2">
      <c r="A151" t="s">
        <v>111</v>
      </c>
      <c r="B151" s="37">
        <v>8900</v>
      </c>
      <c r="C151" s="37">
        <v>2225.0100000000002</v>
      </c>
      <c r="D151" s="26">
        <v>919.92</v>
      </c>
      <c r="E151" s="37">
        <v>1305.0899999999999</v>
      </c>
      <c r="F151" s="27"/>
    </row>
    <row r="152" spans="1:6" ht="12.75" customHeight="1" x14ac:dyDescent="0.35">
      <c r="A152" t="s">
        <v>115</v>
      </c>
      <c r="B152" s="38">
        <v>0</v>
      </c>
      <c r="C152" s="38">
        <v>0</v>
      </c>
      <c r="D152" s="38">
        <v>8.34</v>
      </c>
      <c r="E152" s="40">
        <v>-8.34</v>
      </c>
      <c r="F152" s="27"/>
    </row>
    <row r="153" spans="1:6" ht="12.75" customHeight="1" x14ac:dyDescent="0.2">
      <c r="A153" t="s">
        <v>117</v>
      </c>
      <c r="B153" s="37">
        <v>8900</v>
      </c>
      <c r="C153" s="37">
        <v>2225.0100000000002</v>
      </c>
      <c r="D153" s="26">
        <v>928.26</v>
      </c>
      <c r="E153" s="37">
        <v>1296.75</v>
      </c>
      <c r="F153" s="27"/>
    </row>
    <row r="154" spans="1:6" ht="12.75" customHeight="1" x14ac:dyDescent="0.2">
      <c r="A154" t="s">
        <v>118</v>
      </c>
      <c r="B154" s="37">
        <v>22027</v>
      </c>
      <c r="C154" s="37">
        <v>5506.74</v>
      </c>
      <c r="D154" s="37">
        <v>6367.81</v>
      </c>
      <c r="E154" s="41">
        <v>-861.07</v>
      </c>
      <c r="F154" s="27"/>
    </row>
    <row r="155" spans="1:6" ht="12.75" customHeight="1" x14ac:dyDescent="0.2">
      <c r="A155" t="s">
        <v>120</v>
      </c>
      <c r="B155" s="26">
        <v>0</v>
      </c>
      <c r="C155" s="26">
        <v>0</v>
      </c>
      <c r="D155" s="37">
        <v>1186.5</v>
      </c>
      <c r="E155" s="42">
        <v>-1186.5</v>
      </c>
      <c r="F155" s="27"/>
    </row>
    <row r="156" spans="1:6" ht="12.75" customHeight="1" x14ac:dyDescent="0.2">
      <c r="A156" t="s">
        <v>121</v>
      </c>
      <c r="B156" s="37">
        <v>7350</v>
      </c>
      <c r="C156" s="37">
        <v>1837.5</v>
      </c>
      <c r="D156" s="26">
        <v>770</v>
      </c>
      <c r="E156" s="37">
        <v>1067.5</v>
      </c>
      <c r="F156" s="27"/>
    </row>
    <row r="157" spans="1:6" ht="12.75" customHeight="1" x14ac:dyDescent="0.2">
      <c r="A157" t="s">
        <v>123</v>
      </c>
      <c r="B157" s="37">
        <v>1500</v>
      </c>
      <c r="C157" s="26">
        <v>375</v>
      </c>
      <c r="D157" s="26">
        <v>0</v>
      </c>
      <c r="E157" s="26">
        <v>375</v>
      </c>
      <c r="F157" s="27"/>
    </row>
    <row r="158" spans="1:6" ht="12.75" customHeight="1" x14ac:dyDescent="0.2">
      <c r="A158" t="s">
        <v>125</v>
      </c>
      <c r="B158" s="26">
        <v>671</v>
      </c>
      <c r="C158" s="26">
        <v>167.76</v>
      </c>
      <c r="D158" s="26">
        <v>54.87</v>
      </c>
      <c r="E158" s="26">
        <v>112.89</v>
      </c>
      <c r="F158" s="27"/>
    </row>
    <row r="159" spans="1:6" ht="12.75" customHeight="1" x14ac:dyDescent="0.2">
      <c r="A159" t="s">
        <v>127</v>
      </c>
      <c r="B159" s="37">
        <v>1141</v>
      </c>
      <c r="C159" s="26">
        <v>285.24</v>
      </c>
      <c r="D159" s="26">
        <v>0</v>
      </c>
      <c r="E159" s="26">
        <v>285.24</v>
      </c>
      <c r="F159" s="27"/>
    </row>
    <row r="160" spans="1:6" ht="12.75" customHeight="1" x14ac:dyDescent="0.35">
      <c r="A160" t="s">
        <v>129</v>
      </c>
      <c r="B160" s="37">
        <v>6146</v>
      </c>
      <c r="C160" s="37">
        <v>1536.51</v>
      </c>
      <c r="D160" s="26">
        <v>928.63</v>
      </c>
      <c r="E160" s="26">
        <v>607.88</v>
      </c>
      <c r="F160" s="25"/>
    </row>
    <row r="161" spans="1:6" ht="12.75" customHeight="1" x14ac:dyDescent="0.35">
      <c r="A161" t="s">
        <v>131</v>
      </c>
      <c r="B161" s="26">
        <v>975</v>
      </c>
      <c r="C161" s="26">
        <v>243.75</v>
      </c>
      <c r="D161" s="26">
        <v>144.08000000000001</v>
      </c>
      <c r="E161" s="26">
        <v>99.67</v>
      </c>
      <c r="F161" s="25"/>
    </row>
    <row r="162" spans="1:6" x14ac:dyDescent="0.2">
      <c r="A162" t="s">
        <v>132</v>
      </c>
      <c r="B162" s="37">
        <v>1047</v>
      </c>
      <c r="C162" s="26">
        <v>261.75</v>
      </c>
      <c r="D162" s="26">
        <v>174.85</v>
      </c>
      <c r="E162" s="26">
        <v>86.9</v>
      </c>
      <c r="F162" s="27"/>
    </row>
    <row r="163" spans="1:6" ht="12" x14ac:dyDescent="0.35">
      <c r="A163" t="s">
        <v>133</v>
      </c>
      <c r="B163" s="26">
        <v>500</v>
      </c>
      <c r="C163" s="26">
        <v>125.01</v>
      </c>
      <c r="D163" s="26">
        <v>168.21</v>
      </c>
      <c r="E163" s="41">
        <v>-43.2</v>
      </c>
      <c r="F163" s="28"/>
    </row>
    <row r="164" spans="1:6" x14ac:dyDescent="0.2">
      <c r="A164" t="s">
        <v>134</v>
      </c>
      <c r="B164" s="37">
        <v>1409</v>
      </c>
      <c r="C164" s="26">
        <v>352.26</v>
      </c>
      <c r="D164" s="26">
        <v>182.89</v>
      </c>
      <c r="E164" s="26">
        <v>169.37</v>
      </c>
      <c r="F164"/>
    </row>
    <row r="165" spans="1:6" s="31" customFormat="1" ht="13.2" x14ac:dyDescent="0.25">
      <c r="A165" t="s">
        <v>135</v>
      </c>
      <c r="B165" s="37">
        <v>3245</v>
      </c>
      <c r="C165" s="26">
        <v>811.23</v>
      </c>
      <c r="D165" s="26">
        <v>129.59</v>
      </c>
      <c r="E165" s="26">
        <v>681.64</v>
      </c>
      <c r="F165" s="30"/>
    </row>
    <row r="166" spans="1:6" x14ac:dyDescent="0.2">
      <c r="A166" t="s">
        <v>136</v>
      </c>
      <c r="B166" s="37">
        <v>1003</v>
      </c>
      <c r="C166" s="26">
        <v>250.77</v>
      </c>
      <c r="D166" s="26">
        <v>374.88</v>
      </c>
      <c r="E166" s="41">
        <v>-124.11</v>
      </c>
      <c r="F166"/>
    </row>
    <row r="167" spans="1:6" ht="25.5" customHeight="1" x14ac:dyDescent="0.35">
      <c r="A167" t="s">
        <v>137</v>
      </c>
      <c r="B167" s="37">
        <v>1747</v>
      </c>
      <c r="C167" s="26">
        <v>436.74</v>
      </c>
      <c r="D167" s="26">
        <v>205.25</v>
      </c>
      <c r="E167" s="26">
        <v>231.49</v>
      </c>
      <c r="F167" s="25"/>
    </row>
    <row r="168" spans="1:6" x14ac:dyDescent="0.2">
      <c r="A168" t="s">
        <v>141</v>
      </c>
      <c r="B168" s="26">
        <v>150</v>
      </c>
      <c r="C168" s="26">
        <v>37.5</v>
      </c>
      <c r="D168" s="26">
        <v>0</v>
      </c>
      <c r="E168" s="26">
        <v>37.5</v>
      </c>
      <c r="F168"/>
    </row>
    <row r="169" spans="1:6" ht="12.75" customHeight="1" x14ac:dyDescent="0.35">
      <c r="A169" t="s">
        <v>142</v>
      </c>
      <c r="B169" s="39">
        <v>73357</v>
      </c>
      <c r="C169" s="39">
        <v>18339.240000000002</v>
      </c>
      <c r="D169" s="39">
        <v>15851.61</v>
      </c>
      <c r="E169" s="39">
        <v>2487.63</v>
      </c>
      <c r="F169" s="27"/>
    </row>
    <row r="170" spans="1:6" s="36" customFormat="1" ht="12.75" customHeight="1" x14ac:dyDescent="0.35">
      <c r="A170" s="47" t="s">
        <v>143</v>
      </c>
      <c r="B170" s="54">
        <v>392606</v>
      </c>
      <c r="C170" s="54">
        <v>98151.51</v>
      </c>
      <c r="D170" s="54">
        <v>66449.820000000007</v>
      </c>
      <c r="E170" s="54">
        <v>31701.69</v>
      </c>
      <c r="F170" s="18"/>
    </row>
    <row r="171" spans="1:6" ht="12.75" customHeight="1" x14ac:dyDescent="0.35">
      <c r="A171"/>
      <c r="B171" s="26"/>
      <c r="C171" s="26"/>
      <c r="D171" s="26"/>
      <c r="E171" s="26"/>
      <c r="F171" s="25"/>
    </row>
    <row r="172" spans="1:6" s="36" customFormat="1" ht="12.75" customHeight="1" x14ac:dyDescent="0.35">
      <c r="A172" s="47" t="s">
        <v>144</v>
      </c>
      <c r="B172" s="48">
        <v>-180628</v>
      </c>
      <c r="C172" s="48">
        <v>-45157.02</v>
      </c>
      <c r="D172" s="48">
        <v>-25692.27</v>
      </c>
      <c r="E172" s="49">
        <v>19464.75</v>
      </c>
      <c r="F172" s="35"/>
    </row>
    <row r="173" spans="1:6" ht="12.75" customHeight="1" x14ac:dyDescent="0.35">
      <c r="A173"/>
      <c r="B173"/>
      <c r="C173" s="26"/>
      <c r="D173"/>
      <c r="E173" s="26"/>
      <c r="F173" s="25"/>
    </row>
    <row r="174" spans="1:6" ht="13.2" x14ac:dyDescent="0.25">
      <c r="A174" s="46" t="s">
        <v>171</v>
      </c>
      <c r="B174" s="44"/>
      <c r="C174" s="45"/>
      <c r="D174" s="44"/>
      <c r="E174" s="45"/>
      <c r="F174" s="27"/>
    </row>
    <row r="175" spans="1:6" ht="12" x14ac:dyDescent="0.35">
      <c r="A175"/>
      <c r="B175"/>
      <c r="C175" s="26"/>
      <c r="D175"/>
      <c r="E175" s="26"/>
      <c r="F175" s="28"/>
    </row>
    <row r="176" spans="1:6" ht="24" x14ac:dyDescent="0.35">
      <c r="A176"/>
      <c r="B176" s="50" t="s">
        <v>164</v>
      </c>
      <c r="C176" s="50" t="s">
        <v>165</v>
      </c>
      <c r="D176" s="50" t="s">
        <v>166</v>
      </c>
      <c r="E176" s="50" t="s">
        <v>167</v>
      </c>
      <c r="F176"/>
    </row>
    <row r="177" spans="1:6" s="31" customFormat="1" ht="13.2" x14ac:dyDescent="0.25">
      <c r="A177"/>
      <c r="B177"/>
      <c r="C177" s="26"/>
      <c r="D177"/>
      <c r="E177" s="26"/>
      <c r="F177" s="30"/>
    </row>
    <row r="178" spans="1:6" x14ac:dyDescent="0.2">
      <c r="A178" t="s">
        <v>59</v>
      </c>
      <c r="B178" s="26"/>
      <c r="C178" s="26"/>
      <c r="D178" s="26"/>
      <c r="E178" s="26"/>
      <c r="F178"/>
    </row>
    <row r="179" spans="1:6" ht="25.5" customHeight="1" x14ac:dyDescent="0.35">
      <c r="A179" t="s">
        <v>88</v>
      </c>
      <c r="B179" s="38">
        <v>0</v>
      </c>
      <c r="C179" s="38">
        <v>0</v>
      </c>
      <c r="D179" s="38">
        <v>500</v>
      </c>
      <c r="E179" s="38">
        <v>500</v>
      </c>
      <c r="F179" s="25"/>
    </row>
    <row r="180" spans="1:6" s="36" customFormat="1" ht="12" x14ac:dyDescent="0.35">
      <c r="A180" s="47" t="s">
        <v>107</v>
      </c>
      <c r="B180" s="54">
        <v>0</v>
      </c>
      <c r="C180" s="54">
        <v>0</v>
      </c>
      <c r="D180" s="54">
        <v>500</v>
      </c>
      <c r="E180" s="54">
        <v>500</v>
      </c>
      <c r="F180" s="47"/>
    </row>
    <row r="181" spans="1:6" ht="12.75" customHeight="1" x14ac:dyDescent="0.2">
      <c r="A181"/>
      <c r="B181" s="26"/>
      <c r="C181" s="26"/>
      <c r="D181" s="26"/>
      <c r="E181" s="26"/>
      <c r="F181" s="27"/>
    </row>
    <row r="182" spans="1:6" ht="12.75" customHeight="1" x14ac:dyDescent="0.35">
      <c r="A182" t="s">
        <v>108</v>
      </c>
      <c r="B182" s="26"/>
      <c r="C182" s="26"/>
      <c r="D182" s="26"/>
      <c r="E182" s="26"/>
      <c r="F182" s="25"/>
    </row>
    <row r="183" spans="1:6" ht="12.75" customHeight="1" x14ac:dyDescent="0.35">
      <c r="A183" t="s">
        <v>109</v>
      </c>
      <c r="B183" s="37">
        <v>22720</v>
      </c>
      <c r="C183" s="37">
        <v>5679.99</v>
      </c>
      <c r="D183" s="26">
        <v>631.83000000000004</v>
      </c>
      <c r="E183" s="37">
        <v>5048.16</v>
      </c>
      <c r="F183" s="25"/>
    </row>
    <row r="184" spans="1:6" x14ac:dyDescent="0.2">
      <c r="A184" t="s">
        <v>110</v>
      </c>
      <c r="B184" s="26"/>
      <c r="C184" s="26"/>
      <c r="D184" s="26"/>
      <c r="E184" s="26"/>
      <c r="F184" s="27"/>
    </row>
    <row r="185" spans="1:6" ht="12.75" customHeight="1" x14ac:dyDescent="0.35">
      <c r="A185" t="s">
        <v>115</v>
      </c>
      <c r="B185" s="38">
        <v>0</v>
      </c>
      <c r="C185" s="38">
        <v>0</v>
      </c>
      <c r="D185" s="38">
        <v>3.39</v>
      </c>
      <c r="E185" s="40">
        <v>-3.39</v>
      </c>
      <c r="F185" s="27"/>
    </row>
    <row r="186" spans="1:6" ht="12.75" customHeight="1" x14ac:dyDescent="0.2">
      <c r="A186" t="s">
        <v>117</v>
      </c>
      <c r="B186" s="26">
        <v>0</v>
      </c>
      <c r="C186" s="26">
        <v>0</v>
      </c>
      <c r="D186" s="26">
        <v>3.39</v>
      </c>
      <c r="E186" s="41">
        <v>-3.39</v>
      </c>
      <c r="F186" s="27"/>
    </row>
    <row r="187" spans="1:6" ht="12.75" customHeight="1" x14ac:dyDescent="0.2">
      <c r="A187" t="s">
        <v>125</v>
      </c>
      <c r="B187" s="26">
        <v>93</v>
      </c>
      <c r="C187" s="26">
        <v>23.25</v>
      </c>
      <c r="D187" s="26">
        <v>22.3</v>
      </c>
      <c r="E187" s="26">
        <v>0.95</v>
      </c>
      <c r="F187" s="27"/>
    </row>
    <row r="188" spans="1:6" ht="12.75" customHeight="1" x14ac:dyDescent="0.2">
      <c r="A188" t="s">
        <v>127</v>
      </c>
      <c r="B188" s="26">
        <v>159</v>
      </c>
      <c r="C188" s="26">
        <v>39.75</v>
      </c>
      <c r="D188" s="26">
        <v>0</v>
      </c>
      <c r="E188" s="26">
        <v>39.75</v>
      </c>
      <c r="F188" s="27"/>
    </row>
    <row r="189" spans="1:6" ht="12.75" customHeight="1" x14ac:dyDescent="0.2">
      <c r="A189" t="s">
        <v>129</v>
      </c>
      <c r="B189" s="26">
        <v>854</v>
      </c>
      <c r="C189" s="26">
        <v>213.51</v>
      </c>
      <c r="D189" s="26">
        <v>514.88</v>
      </c>
      <c r="E189" s="41">
        <v>-301.37</v>
      </c>
      <c r="F189" s="27"/>
    </row>
    <row r="190" spans="1:6" ht="12.75" customHeight="1" x14ac:dyDescent="0.2">
      <c r="A190" t="s">
        <v>131</v>
      </c>
      <c r="B190" s="37">
        <v>15300</v>
      </c>
      <c r="C190" s="37">
        <v>3825</v>
      </c>
      <c r="D190" s="26">
        <v>362.98</v>
      </c>
      <c r="E190" s="37">
        <v>3462.02</v>
      </c>
      <c r="F190" s="27"/>
    </row>
    <row r="191" spans="1:6" ht="12.75" customHeight="1" x14ac:dyDescent="0.2">
      <c r="A191" t="s">
        <v>132</v>
      </c>
      <c r="B191" s="26">
        <v>145</v>
      </c>
      <c r="C191" s="26">
        <v>36.270000000000003</v>
      </c>
      <c r="D191" s="26">
        <v>17.649999999999999</v>
      </c>
      <c r="E191" s="26">
        <v>18.62</v>
      </c>
      <c r="F191" s="27"/>
    </row>
    <row r="192" spans="1:6" ht="12.75" customHeight="1" x14ac:dyDescent="0.2">
      <c r="A192" t="s">
        <v>133</v>
      </c>
      <c r="B192" s="26">
        <v>0</v>
      </c>
      <c r="C192" s="26">
        <v>0</v>
      </c>
      <c r="D192" s="26">
        <v>49.11</v>
      </c>
      <c r="E192" s="41">
        <v>-49.11</v>
      </c>
      <c r="F192" s="27"/>
    </row>
    <row r="193" spans="1:6" ht="12.75" customHeight="1" x14ac:dyDescent="0.2">
      <c r="A193" t="s">
        <v>134</v>
      </c>
      <c r="B193" s="26">
        <v>196</v>
      </c>
      <c r="C193" s="26">
        <v>48.99</v>
      </c>
      <c r="D193" s="26">
        <v>74.819999999999993</v>
      </c>
      <c r="E193" s="41">
        <v>-25.83</v>
      </c>
      <c r="F193" s="27"/>
    </row>
    <row r="194" spans="1:6" ht="12.75" customHeight="1" x14ac:dyDescent="0.2">
      <c r="A194" t="s">
        <v>135</v>
      </c>
      <c r="B194" s="26">
        <v>104</v>
      </c>
      <c r="C194" s="26">
        <v>26.01</v>
      </c>
      <c r="D194" s="26">
        <v>31.95</v>
      </c>
      <c r="E194" s="41">
        <v>-5.94</v>
      </c>
      <c r="F194" s="27"/>
    </row>
    <row r="195" spans="1:6" ht="12.75" customHeight="1" x14ac:dyDescent="0.2">
      <c r="A195" t="s">
        <v>136</v>
      </c>
      <c r="B195" s="26">
        <v>110</v>
      </c>
      <c r="C195" s="26">
        <v>27.48</v>
      </c>
      <c r="D195" s="26">
        <v>115.36</v>
      </c>
      <c r="E195" s="41">
        <v>-87.88</v>
      </c>
      <c r="F195" s="27"/>
    </row>
    <row r="196" spans="1:6" ht="12.75" customHeight="1" x14ac:dyDescent="0.2">
      <c r="A196" t="s">
        <v>137</v>
      </c>
      <c r="B196" s="26">
        <v>243</v>
      </c>
      <c r="C196" s="26">
        <v>60.75</v>
      </c>
      <c r="D196" s="26">
        <v>75.34</v>
      </c>
      <c r="E196" s="41">
        <v>-14.59</v>
      </c>
      <c r="F196" s="27"/>
    </row>
    <row r="197" spans="1:6" ht="12.75" customHeight="1" x14ac:dyDescent="0.35">
      <c r="A197" t="s">
        <v>142</v>
      </c>
      <c r="B197" s="39">
        <v>9853</v>
      </c>
      <c r="C197" s="39">
        <v>2463.2399999999998</v>
      </c>
      <c r="D197" s="38">
        <v>628.6</v>
      </c>
      <c r="E197" s="39">
        <v>1834.64</v>
      </c>
      <c r="F197" s="25"/>
    </row>
    <row r="198" spans="1:6" s="36" customFormat="1" ht="12.75" customHeight="1" x14ac:dyDescent="0.35">
      <c r="A198" s="47" t="s">
        <v>143</v>
      </c>
      <c r="B198" s="54">
        <v>49777</v>
      </c>
      <c r="C198" s="54">
        <v>12444.24</v>
      </c>
      <c r="D198" s="54">
        <v>2528.21</v>
      </c>
      <c r="E198" s="54">
        <v>9916.0300000000007</v>
      </c>
      <c r="F198" s="35"/>
    </row>
    <row r="199" spans="1:6" x14ac:dyDescent="0.2">
      <c r="A199"/>
      <c r="B199" s="26"/>
      <c r="C199" s="26"/>
      <c r="D199" s="26"/>
      <c r="E199" s="26"/>
      <c r="F199" s="27"/>
    </row>
    <row r="200" spans="1:6" s="36" customFormat="1" ht="12" x14ac:dyDescent="0.35">
      <c r="A200" s="47" t="s">
        <v>144</v>
      </c>
      <c r="B200" s="48">
        <v>-49777</v>
      </c>
      <c r="C200" s="48">
        <v>-12444.24</v>
      </c>
      <c r="D200" s="48">
        <v>-2028.21</v>
      </c>
      <c r="E200" s="49">
        <v>10416.030000000001</v>
      </c>
      <c r="F200" s="51"/>
    </row>
    <row r="201" spans="1:6" x14ac:dyDescent="0.2">
      <c r="A201"/>
      <c r="B201"/>
      <c r="C201" s="26"/>
      <c r="D201"/>
      <c r="E201" s="26"/>
      <c r="F201"/>
    </row>
    <row r="202" spans="1:6" s="31" customFormat="1" ht="13.2" x14ac:dyDescent="0.25">
      <c r="A202" s="46" t="s">
        <v>172</v>
      </c>
      <c r="B202" s="44"/>
      <c r="C202" s="45"/>
      <c r="D202" s="44"/>
      <c r="E202" s="45"/>
      <c r="F202" s="30"/>
    </row>
    <row r="203" spans="1:6" x14ac:dyDescent="0.2">
      <c r="A203"/>
      <c r="B203"/>
      <c r="C203" s="26"/>
      <c r="D203"/>
      <c r="E203" s="26"/>
      <c r="F203"/>
    </row>
    <row r="204" spans="1:6" ht="25.5" customHeight="1" x14ac:dyDescent="0.35">
      <c r="A204"/>
      <c r="B204" s="50" t="s">
        <v>164</v>
      </c>
      <c r="C204" s="50" t="s">
        <v>165</v>
      </c>
      <c r="D204" s="50" t="s">
        <v>166</v>
      </c>
      <c r="E204" s="50" t="s">
        <v>167</v>
      </c>
      <c r="F204" s="25"/>
    </row>
    <row r="205" spans="1:6" x14ac:dyDescent="0.2">
      <c r="A205"/>
      <c r="B205"/>
      <c r="C205" s="26"/>
      <c r="D205"/>
      <c r="E205" s="26"/>
      <c r="F205"/>
    </row>
    <row r="206" spans="1:6" ht="12.75" customHeight="1" x14ac:dyDescent="0.2">
      <c r="A206" t="s">
        <v>59</v>
      </c>
      <c r="B206" s="26"/>
      <c r="C206" s="26"/>
      <c r="D206" s="26"/>
      <c r="E206" s="26"/>
      <c r="F206" s="27"/>
    </row>
    <row r="207" spans="1:6" ht="12.75" customHeight="1" x14ac:dyDescent="0.2">
      <c r="A207" t="s">
        <v>94</v>
      </c>
      <c r="B207" s="26"/>
      <c r="C207" s="26"/>
      <c r="D207" s="26"/>
      <c r="E207" s="26"/>
      <c r="F207" s="27"/>
    </row>
    <row r="208" spans="1:6" ht="12.75" customHeight="1" x14ac:dyDescent="0.35">
      <c r="A208" t="s">
        <v>95</v>
      </c>
      <c r="B208" s="39">
        <v>34340</v>
      </c>
      <c r="C208" s="39">
        <v>8585.01</v>
      </c>
      <c r="D208" s="39">
        <v>20402.650000000001</v>
      </c>
      <c r="E208" s="39">
        <v>11817.64</v>
      </c>
      <c r="F208" s="25"/>
    </row>
    <row r="209" spans="1:6" ht="12.75" customHeight="1" x14ac:dyDescent="0.2">
      <c r="A209" t="s">
        <v>97</v>
      </c>
      <c r="B209" s="37">
        <v>34340</v>
      </c>
      <c r="C209" s="37">
        <v>8585.01</v>
      </c>
      <c r="D209" s="37">
        <v>20402.650000000001</v>
      </c>
      <c r="E209" s="37">
        <v>11817.64</v>
      </c>
      <c r="F209" s="27"/>
    </row>
    <row r="210" spans="1:6" ht="12.75" customHeight="1" x14ac:dyDescent="0.2">
      <c r="A210" t="s">
        <v>103</v>
      </c>
      <c r="B210" s="26">
        <v>0</v>
      </c>
      <c r="C210" s="26">
        <v>0</v>
      </c>
      <c r="D210" s="26">
        <v>75</v>
      </c>
      <c r="E210" s="26">
        <v>75</v>
      </c>
      <c r="F210" s="27"/>
    </row>
    <row r="211" spans="1:6" ht="12.75" customHeight="1" x14ac:dyDescent="0.35">
      <c r="A211" t="s">
        <v>106</v>
      </c>
      <c r="B211" s="39">
        <v>56372</v>
      </c>
      <c r="C211" s="39">
        <v>14093.01</v>
      </c>
      <c r="D211" s="39">
        <v>14037</v>
      </c>
      <c r="E211" s="40">
        <v>-56.01</v>
      </c>
      <c r="F211" s="25"/>
    </row>
    <row r="212" spans="1:6" s="36" customFormat="1" ht="12" x14ac:dyDescent="0.35">
      <c r="A212" s="47" t="s">
        <v>107</v>
      </c>
      <c r="B212" s="54">
        <v>90712</v>
      </c>
      <c r="C212" s="54">
        <v>22678.02</v>
      </c>
      <c r="D212" s="54">
        <v>34514.65</v>
      </c>
      <c r="E212" s="54">
        <v>11836.63</v>
      </c>
      <c r="F212" s="35"/>
    </row>
    <row r="213" spans="1:6" ht="12.75" customHeight="1" x14ac:dyDescent="0.2">
      <c r="A213"/>
      <c r="B213" s="26"/>
      <c r="C213" s="26"/>
      <c r="D213" s="26"/>
      <c r="E213" s="26"/>
      <c r="F213" s="27"/>
    </row>
    <row r="214" spans="1:6" ht="12.75" customHeight="1" x14ac:dyDescent="0.2">
      <c r="A214" t="s">
        <v>108</v>
      </c>
      <c r="B214" s="26"/>
      <c r="C214" s="26"/>
      <c r="D214" s="26"/>
      <c r="E214" s="26"/>
      <c r="F214" s="27"/>
    </row>
    <row r="215" spans="1:6" ht="12.75" customHeight="1" x14ac:dyDescent="0.2">
      <c r="A215" t="s">
        <v>109</v>
      </c>
      <c r="B215" s="37">
        <v>8569</v>
      </c>
      <c r="C215" s="37">
        <v>2142.2399999999998</v>
      </c>
      <c r="D215" s="37">
        <v>5410.85</v>
      </c>
      <c r="E215" s="42">
        <v>-3268.61</v>
      </c>
      <c r="F215" s="27"/>
    </row>
    <row r="216" spans="1:6" ht="12.75" customHeight="1" x14ac:dyDescent="0.2">
      <c r="A216" t="s">
        <v>110</v>
      </c>
      <c r="B216" s="26"/>
      <c r="C216" s="26"/>
      <c r="D216" s="26"/>
      <c r="E216" s="26"/>
      <c r="F216" s="27"/>
    </row>
    <row r="217" spans="1:6" ht="12.75" customHeight="1" x14ac:dyDescent="0.2">
      <c r="A217" t="s">
        <v>113</v>
      </c>
      <c r="B217" s="26">
        <v>0</v>
      </c>
      <c r="C217" s="26">
        <v>0</v>
      </c>
      <c r="D217" s="26">
        <v>75</v>
      </c>
      <c r="E217" s="41">
        <v>-75</v>
      </c>
      <c r="F217" s="27"/>
    </row>
    <row r="218" spans="1:6" ht="12.75" customHeight="1" x14ac:dyDescent="0.2">
      <c r="A218" t="s">
        <v>114</v>
      </c>
      <c r="B218" s="37">
        <v>1500</v>
      </c>
      <c r="C218" s="26">
        <v>375</v>
      </c>
      <c r="D218" s="26">
        <v>0</v>
      </c>
      <c r="E218" s="26">
        <v>375</v>
      </c>
      <c r="F218" s="27"/>
    </row>
    <row r="219" spans="1:6" ht="12.75" customHeight="1" x14ac:dyDescent="0.35">
      <c r="A219" t="s">
        <v>115</v>
      </c>
      <c r="B219" s="26">
        <v>0</v>
      </c>
      <c r="C219" s="26">
        <v>0</v>
      </c>
      <c r="D219" s="26">
        <v>150.75</v>
      </c>
      <c r="E219" s="41">
        <v>-150.75</v>
      </c>
      <c r="F219" s="25"/>
    </row>
    <row r="220" spans="1:6" ht="12.75" customHeight="1" x14ac:dyDescent="0.35">
      <c r="A220" t="s">
        <v>116</v>
      </c>
      <c r="B220" s="39">
        <v>3540</v>
      </c>
      <c r="C220" s="38">
        <v>885</v>
      </c>
      <c r="D220" s="38">
        <v>960</v>
      </c>
      <c r="E220" s="40">
        <v>-75</v>
      </c>
      <c r="F220" s="27"/>
    </row>
    <row r="221" spans="1:6" ht="12.75" customHeight="1" x14ac:dyDescent="0.2">
      <c r="A221" t="s">
        <v>117</v>
      </c>
      <c r="B221" s="37">
        <v>5040</v>
      </c>
      <c r="C221" s="37">
        <v>1260</v>
      </c>
      <c r="D221" s="37">
        <v>1185.75</v>
      </c>
      <c r="E221" s="26">
        <v>74.25</v>
      </c>
      <c r="F221" s="27"/>
    </row>
    <row r="222" spans="1:6" ht="12.75" customHeight="1" x14ac:dyDescent="0.2">
      <c r="A222" t="s">
        <v>124</v>
      </c>
      <c r="B222" s="26">
        <v>250</v>
      </c>
      <c r="C222" s="26">
        <v>62.49</v>
      </c>
      <c r="D222" s="26">
        <v>103.9</v>
      </c>
      <c r="E222" s="41">
        <v>-41.41</v>
      </c>
      <c r="F222" s="27"/>
    </row>
    <row r="223" spans="1:6" ht="12.75" customHeight="1" x14ac:dyDescent="0.2">
      <c r="A223" t="s">
        <v>125</v>
      </c>
      <c r="B223" s="26">
        <v>18</v>
      </c>
      <c r="C223" s="26">
        <v>4.5</v>
      </c>
      <c r="D223" s="26">
        <v>5.0999999999999996</v>
      </c>
      <c r="E223" s="41">
        <v>-0.6</v>
      </c>
      <c r="F223" s="27"/>
    </row>
    <row r="224" spans="1:6" ht="12.75" customHeight="1" x14ac:dyDescent="0.2">
      <c r="A224" t="s">
        <v>126</v>
      </c>
      <c r="B224" s="37">
        <v>10500</v>
      </c>
      <c r="C224" s="37">
        <v>2625</v>
      </c>
      <c r="D224" s="37">
        <v>2675.54</v>
      </c>
      <c r="E224" s="41">
        <v>-50.54</v>
      </c>
      <c r="F224" s="27"/>
    </row>
    <row r="225" spans="1:6" ht="12.75" customHeight="1" x14ac:dyDescent="0.2">
      <c r="A225" t="s">
        <v>127</v>
      </c>
      <c r="B225" s="37">
        <v>4532</v>
      </c>
      <c r="C225" s="37">
        <v>1133.01</v>
      </c>
      <c r="D225" s="37">
        <v>1179.75</v>
      </c>
      <c r="E225" s="41">
        <v>-46.74</v>
      </c>
      <c r="F225" s="27"/>
    </row>
    <row r="226" spans="1:6" ht="12.75" customHeight="1" x14ac:dyDescent="0.2">
      <c r="A226" t="s">
        <v>128</v>
      </c>
      <c r="B226" s="37">
        <v>4500</v>
      </c>
      <c r="C226" s="37">
        <v>1125</v>
      </c>
      <c r="D226" s="37">
        <v>6121.69</v>
      </c>
      <c r="E226" s="42">
        <v>-4996.6899999999996</v>
      </c>
      <c r="F226" s="27"/>
    </row>
    <row r="227" spans="1:6" ht="12.75" customHeight="1" x14ac:dyDescent="0.2">
      <c r="A227" t="s">
        <v>129</v>
      </c>
      <c r="B227" s="26">
        <v>171</v>
      </c>
      <c r="C227" s="26">
        <v>42.75</v>
      </c>
      <c r="D227" s="26">
        <v>0</v>
      </c>
      <c r="E227" s="26">
        <v>42.75</v>
      </c>
      <c r="F227" s="27"/>
    </row>
    <row r="228" spans="1:6" ht="12.75" customHeight="1" x14ac:dyDescent="0.2">
      <c r="A228" t="s">
        <v>130</v>
      </c>
      <c r="B228" s="37">
        <v>7900</v>
      </c>
      <c r="C228" s="37">
        <v>1974.99</v>
      </c>
      <c r="D228" s="26">
        <v>0</v>
      </c>
      <c r="E228" s="37">
        <v>1974.99</v>
      </c>
      <c r="F228" s="27"/>
    </row>
    <row r="229" spans="1:6" ht="12.75" customHeight="1" x14ac:dyDescent="0.2">
      <c r="A229" t="s">
        <v>131</v>
      </c>
      <c r="B229" s="26">
        <v>0</v>
      </c>
      <c r="C229" s="26">
        <v>0</v>
      </c>
      <c r="D229" s="26">
        <v>37.96</v>
      </c>
      <c r="E229" s="41">
        <v>-37.96</v>
      </c>
      <c r="F229" s="27"/>
    </row>
    <row r="230" spans="1:6" ht="12.75" customHeight="1" x14ac:dyDescent="0.2">
      <c r="A230" t="s">
        <v>132</v>
      </c>
      <c r="B230" s="26">
        <v>29</v>
      </c>
      <c r="C230" s="26">
        <v>7.26</v>
      </c>
      <c r="D230" s="26">
        <v>0</v>
      </c>
      <c r="E230" s="26">
        <v>7.26</v>
      </c>
      <c r="F230" s="27"/>
    </row>
    <row r="231" spans="1:6" ht="12.75" customHeight="1" x14ac:dyDescent="0.2">
      <c r="A231" t="s">
        <v>133</v>
      </c>
      <c r="B231" s="26">
        <v>0</v>
      </c>
      <c r="C231" s="26">
        <v>0</v>
      </c>
      <c r="D231" s="26">
        <v>39.01</v>
      </c>
      <c r="E231" s="41">
        <v>-39.01</v>
      </c>
      <c r="F231" s="27"/>
    </row>
    <row r="232" spans="1:6" ht="12.75" customHeight="1" x14ac:dyDescent="0.2">
      <c r="A232" t="s">
        <v>134</v>
      </c>
      <c r="B232" s="26">
        <v>40</v>
      </c>
      <c r="C232" s="26">
        <v>9.99</v>
      </c>
      <c r="D232" s="26">
        <v>36.299999999999997</v>
      </c>
      <c r="E232" s="41">
        <v>-26.31</v>
      </c>
      <c r="F232" s="27"/>
    </row>
    <row r="233" spans="1:6" ht="12.75" customHeight="1" x14ac:dyDescent="0.2">
      <c r="A233" t="s">
        <v>135</v>
      </c>
      <c r="B233" s="26">
        <v>21</v>
      </c>
      <c r="C233" s="26">
        <v>5.25</v>
      </c>
      <c r="D233" s="26">
        <v>7.38</v>
      </c>
      <c r="E233" s="41">
        <v>-2.13</v>
      </c>
      <c r="F233" s="27"/>
    </row>
    <row r="234" spans="1:6" ht="12.75" customHeight="1" x14ac:dyDescent="0.2">
      <c r="A234" t="s">
        <v>136</v>
      </c>
      <c r="B234" s="26">
        <v>22</v>
      </c>
      <c r="C234" s="26">
        <v>5.49</v>
      </c>
      <c r="D234" s="26">
        <v>26.61</v>
      </c>
      <c r="E234" s="41">
        <v>-21.12</v>
      </c>
      <c r="F234" s="27"/>
    </row>
    <row r="235" spans="1:6" ht="12.75" customHeight="1" x14ac:dyDescent="0.2">
      <c r="A235" t="s">
        <v>137</v>
      </c>
      <c r="B235" s="26">
        <v>49</v>
      </c>
      <c r="C235" s="26">
        <v>12.24</v>
      </c>
      <c r="D235" s="26">
        <v>17.38</v>
      </c>
      <c r="E235" s="41">
        <v>-5.14</v>
      </c>
      <c r="F235" s="27"/>
    </row>
    <row r="236" spans="1:6" ht="12.75" customHeight="1" x14ac:dyDescent="0.2">
      <c r="A236" t="s">
        <v>139</v>
      </c>
      <c r="B236" s="37">
        <v>7500</v>
      </c>
      <c r="C236" s="37">
        <v>1875</v>
      </c>
      <c r="D236" s="37">
        <v>1490.04</v>
      </c>
      <c r="E236" s="26">
        <v>384.96</v>
      </c>
      <c r="F236" s="27"/>
    </row>
    <row r="237" spans="1:6" ht="12.75" customHeight="1" x14ac:dyDescent="0.35">
      <c r="A237" t="s">
        <v>140</v>
      </c>
      <c r="B237" s="37">
        <v>11600</v>
      </c>
      <c r="C237" s="37">
        <v>2900.04</v>
      </c>
      <c r="D237" s="37">
        <v>6065.47</v>
      </c>
      <c r="E237" s="42">
        <v>-3165.43</v>
      </c>
      <c r="F237" s="25"/>
    </row>
    <row r="238" spans="1:6" ht="12" x14ac:dyDescent="0.35">
      <c r="A238" t="s">
        <v>142</v>
      </c>
      <c r="B238" s="39">
        <v>14991</v>
      </c>
      <c r="C238" s="39">
        <v>3747.75</v>
      </c>
      <c r="D238" s="39">
        <v>8672.5</v>
      </c>
      <c r="E238" s="43">
        <v>-4924.75</v>
      </c>
      <c r="F238" s="25"/>
    </row>
    <row r="239" spans="1:6" s="36" customFormat="1" ht="12" x14ac:dyDescent="0.35">
      <c r="A239" s="47" t="s">
        <v>143</v>
      </c>
      <c r="B239" s="54">
        <v>75732</v>
      </c>
      <c r="C239" s="54">
        <v>18933</v>
      </c>
      <c r="D239" s="54">
        <v>33075.230000000003</v>
      </c>
      <c r="E239" s="54">
        <v>-14142.23</v>
      </c>
      <c r="F239" s="18"/>
    </row>
    <row r="240" spans="1:6" ht="12" x14ac:dyDescent="0.35">
      <c r="A240"/>
      <c r="B240" s="26"/>
      <c r="C240" s="26"/>
      <c r="D240" s="26"/>
      <c r="E240" s="26"/>
      <c r="F240" s="28"/>
    </row>
    <row r="241" spans="1:6" s="36" customFormat="1" ht="12" x14ac:dyDescent="0.35">
      <c r="A241" s="47" t="s">
        <v>144</v>
      </c>
      <c r="B241" s="49">
        <v>14980</v>
      </c>
      <c r="C241" s="49">
        <v>3745.02</v>
      </c>
      <c r="D241" s="49">
        <v>1439.42</v>
      </c>
      <c r="E241" s="48">
        <v>-2305.6</v>
      </c>
      <c r="F241" s="47"/>
    </row>
    <row r="242" spans="1:6" s="31" customFormat="1" ht="13.2" x14ac:dyDescent="0.25">
      <c r="A242"/>
      <c r="B242"/>
      <c r="C242" s="26"/>
      <c r="D242"/>
      <c r="E242" s="26"/>
      <c r="F242" s="30"/>
    </row>
    <row r="243" spans="1:6" ht="13.2" x14ac:dyDescent="0.25">
      <c r="A243" s="46" t="s">
        <v>173</v>
      </c>
      <c r="B243" s="44"/>
      <c r="C243" s="45"/>
      <c r="D243" s="44"/>
      <c r="E243" s="45"/>
      <c r="F243"/>
    </row>
    <row r="244" spans="1:6" ht="9" customHeight="1" x14ac:dyDescent="0.35">
      <c r="A244"/>
      <c r="B244"/>
      <c r="C244" s="26"/>
      <c r="D244"/>
      <c r="E244" s="26"/>
      <c r="F244" s="25"/>
    </row>
    <row r="245" spans="1:6" ht="24" x14ac:dyDescent="0.35">
      <c r="A245"/>
      <c r="B245" s="50" t="s">
        <v>164</v>
      </c>
      <c r="C245" s="50" t="s">
        <v>165</v>
      </c>
      <c r="D245" s="50" t="s">
        <v>166</v>
      </c>
      <c r="E245" s="50" t="s">
        <v>167</v>
      </c>
      <c r="F245"/>
    </row>
    <row r="246" spans="1:6" ht="12.75" customHeight="1" x14ac:dyDescent="0.2">
      <c r="A246"/>
      <c r="B246"/>
      <c r="C246" s="26"/>
      <c r="D246"/>
      <c r="E246" s="26"/>
      <c r="F246" s="27"/>
    </row>
    <row r="247" spans="1:6" ht="12.75" customHeight="1" x14ac:dyDescent="0.2">
      <c r="A247" t="s">
        <v>59</v>
      </c>
      <c r="B247" s="26"/>
      <c r="C247" s="26"/>
      <c r="D247" s="26"/>
      <c r="E247" s="26"/>
      <c r="F247" s="27"/>
    </row>
    <row r="248" spans="1:6" ht="12.75" customHeight="1" x14ac:dyDescent="0.2">
      <c r="A248" t="s">
        <v>168</v>
      </c>
      <c r="B248" s="26"/>
      <c r="C248" s="26"/>
      <c r="D248" s="26"/>
      <c r="E248" s="26"/>
      <c r="F248" s="27"/>
    </row>
    <row r="249" spans="1:6" ht="12.75" customHeight="1" x14ac:dyDescent="0.2">
      <c r="A249" t="s">
        <v>61</v>
      </c>
      <c r="B249" s="37">
        <v>19560</v>
      </c>
      <c r="C249" s="37">
        <v>4890</v>
      </c>
      <c r="D249" s="37">
        <v>5350</v>
      </c>
      <c r="E249" s="26">
        <v>460</v>
      </c>
      <c r="F249" s="27"/>
    </row>
    <row r="250" spans="1:6" ht="12.75" customHeight="1" x14ac:dyDescent="0.35">
      <c r="A250" t="s">
        <v>74</v>
      </c>
      <c r="B250" s="37">
        <v>215000</v>
      </c>
      <c r="C250" s="37">
        <v>53750.01</v>
      </c>
      <c r="D250" s="26">
        <v>0</v>
      </c>
      <c r="E250" s="42">
        <v>-53750.01</v>
      </c>
      <c r="F250" s="25"/>
    </row>
    <row r="251" spans="1:6" ht="12.75" customHeight="1" x14ac:dyDescent="0.35">
      <c r="A251" t="s">
        <v>80</v>
      </c>
      <c r="B251" s="38">
        <v>0</v>
      </c>
      <c r="C251" s="38">
        <v>0</v>
      </c>
      <c r="D251" s="39">
        <v>6651</v>
      </c>
      <c r="E251" s="39">
        <v>6651</v>
      </c>
      <c r="F251" s="27"/>
    </row>
    <row r="252" spans="1:6" ht="12.75" customHeight="1" x14ac:dyDescent="0.2">
      <c r="A252" t="s">
        <v>87</v>
      </c>
      <c r="B252" s="37">
        <v>234560</v>
      </c>
      <c r="C252" s="37">
        <v>58640.01</v>
      </c>
      <c r="D252" s="37">
        <v>12001</v>
      </c>
      <c r="E252" s="42">
        <v>-46639.01</v>
      </c>
      <c r="F252" s="27"/>
    </row>
    <row r="253" spans="1:6" ht="12.75" customHeight="1" x14ac:dyDescent="0.35">
      <c r="A253" t="s">
        <v>88</v>
      </c>
      <c r="B253" s="26">
        <v>0</v>
      </c>
      <c r="C253" s="26">
        <v>0</v>
      </c>
      <c r="D253" s="37">
        <v>15210.65</v>
      </c>
      <c r="E253" s="37">
        <v>15210.65</v>
      </c>
      <c r="F253" s="25"/>
    </row>
    <row r="254" spans="1:6" ht="12" x14ac:dyDescent="0.35">
      <c r="A254" t="s">
        <v>104</v>
      </c>
      <c r="B254" s="38">
        <v>0</v>
      </c>
      <c r="C254" s="38">
        <v>0</v>
      </c>
      <c r="D254" s="38">
        <v>5.79</v>
      </c>
      <c r="E254" s="38">
        <v>5.79</v>
      </c>
      <c r="F254" s="25"/>
    </row>
    <row r="255" spans="1:6" s="36" customFormat="1" ht="12.75" customHeight="1" x14ac:dyDescent="0.35">
      <c r="A255" s="47" t="s">
        <v>107</v>
      </c>
      <c r="B255" s="54">
        <v>234560</v>
      </c>
      <c r="C255" s="54">
        <v>58640.01</v>
      </c>
      <c r="D255" s="54">
        <v>27217.439999999999</v>
      </c>
      <c r="E255" s="54">
        <v>-31422.57</v>
      </c>
      <c r="F255" s="18"/>
    </row>
    <row r="256" spans="1:6" ht="12.75" customHeight="1" x14ac:dyDescent="0.2">
      <c r="A256"/>
      <c r="B256" s="26"/>
      <c r="C256" s="26"/>
      <c r="D256" s="26"/>
      <c r="E256" s="26"/>
      <c r="F256" s="27"/>
    </row>
    <row r="257" spans="1:6" ht="12.75" customHeight="1" x14ac:dyDescent="0.2">
      <c r="A257" t="s">
        <v>108</v>
      </c>
      <c r="B257" s="26"/>
      <c r="C257" s="26"/>
      <c r="D257" s="26"/>
      <c r="E257" s="26"/>
      <c r="F257" s="27"/>
    </row>
    <row r="258" spans="1:6" ht="12.75" customHeight="1" x14ac:dyDescent="0.2">
      <c r="A258" t="s">
        <v>109</v>
      </c>
      <c r="B258" s="37">
        <v>441628</v>
      </c>
      <c r="C258" s="37">
        <v>110406.99</v>
      </c>
      <c r="D258" s="37">
        <v>87568.78</v>
      </c>
      <c r="E258" s="37">
        <v>22838.21</v>
      </c>
      <c r="F258" s="27"/>
    </row>
    <row r="259" spans="1:6" ht="12.75" customHeight="1" x14ac:dyDescent="0.2">
      <c r="A259" t="s">
        <v>110</v>
      </c>
      <c r="B259" s="26"/>
      <c r="C259" s="26"/>
      <c r="D259" s="26"/>
      <c r="E259" s="26"/>
      <c r="F259" s="27"/>
    </row>
    <row r="260" spans="1:6" ht="12.75" customHeight="1" x14ac:dyDescent="0.35">
      <c r="A260" t="s">
        <v>115</v>
      </c>
      <c r="B260" s="38">
        <v>0</v>
      </c>
      <c r="C260" s="38">
        <v>0</v>
      </c>
      <c r="D260" s="38">
        <v>26.82</v>
      </c>
      <c r="E260" s="40">
        <v>-26.82</v>
      </c>
      <c r="F260" s="27"/>
    </row>
    <row r="261" spans="1:6" ht="12.75" customHeight="1" x14ac:dyDescent="0.2">
      <c r="A261" t="s">
        <v>117</v>
      </c>
      <c r="B261" s="26">
        <v>0</v>
      </c>
      <c r="C261" s="26">
        <v>0</v>
      </c>
      <c r="D261" s="26">
        <v>26.82</v>
      </c>
      <c r="E261" s="41">
        <v>-26.82</v>
      </c>
      <c r="F261" s="27"/>
    </row>
    <row r="262" spans="1:6" ht="12.75" customHeight="1" x14ac:dyDescent="0.2">
      <c r="A262" t="s">
        <v>120</v>
      </c>
      <c r="B262" s="37">
        <v>108000</v>
      </c>
      <c r="C262" s="37">
        <v>27000</v>
      </c>
      <c r="D262" s="37">
        <v>25475.5</v>
      </c>
      <c r="E262" s="37">
        <v>1524.5</v>
      </c>
      <c r="F262" s="27"/>
    </row>
    <row r="263" spans="1:6" ht="12.75" customHeight="1" x14ac:dyDescent="0.2">
      <c r="A263" t="s">
        <v>121</v>
      </c>
      <c r="B263" s="26">
        <v>0</v>
      </c>
      <c r="C263" s="26">
        <v>0</v>
      </c>
      <c r="D263" s="37">
        <v>15485</v>
      </c>
      <c r="E263" s="42">
        <v>-15485</v>
      </c>
      <c r="F263" s="27"/>
    </row>
    <row r="264" spans="1:6" ht="12.75" customHeight="1" x14ac:dyDescent="0.2">
      <c r="A264" t="s">
        <v>123</v>
      </c>
      <c r="B264" s="37">
        <v>12500</v>
      </c>
      <c r="C264" s="37">
        <v>3125.01</v>
      </c>
      <c r="D264" s="26">
        <v>0</v>
      </c>
      <c r="E264" s="37">
        <v>3125.01</v>
      </c>
      <c r="F264" s="27"/>
    </row>
    <row r="265" spans="1:6" ht="12.75" customHeight="1" x14ac:dyDescent="0.2">
      <c r="A265" t="s">
        <v>124</v>
      </c>
      <c r="B265" s="37">
        <v>1000</v>
      </c>
      <c r="C265" s="26">
        <v>249.99</v>
      </c>
      <c r="D265" s="26">
        <v>70.56</v>
      </c>
      <c r="E265" s="26">
        <v>179.43</v>
      </c>
      <c r="F265" s="27"/>
    </row>
    <row r="266" spans="1:6" ht="12.75" customHeight="1" x14ac:dyDescent="0.2">
      <c r="A266" t="s">
        <v>125</v>
      </c>
      <c r="B266" s="26">
        <v>792</v>
      </c>
      <c r="C266" s="26">
        <v>198</v>
      </c>
      <c r="D266" s="26">
        <v>176.62</v>
      </c>
      <c r="E266" s="26">
        <v>21.38</v>
      </c>
      <c r="F266" s="27"/>
    </row>
    <row r="267" spans="1:6" ht="12.75" customHeight="1" x14ac:dyDescent="0.2">
      <c r="A267" t="s">
        <v>127</v>
      </c>
      <c r="B267" s="37">
        <v>10221</v>
      </c>
      <c r="C267" s="37">
        <v>2555.25</v>
      </c>
      <c r="D267" s="37">
        <v>3689.88</v>
      </c>
      <c r="E267" s="42">
        <v>-1134.6300000000001</v>
      </c>
      <c r="F267" s="27"/>
    </row>
    <row r="268" spans="1:6" ht="12.75" customHeight="1" x14ac:dyDescent="0.2">
      <c r="A268" t="s">
        <v>128</v>
      </c>
      <c r="B268" s="37">
        <v>20000</v>
      </c>
      <c r="C268" s="37">
        <v>5000.01</v>
      </c>
      <c r="D268" s="37">
        <v>1344.75</v>
      </c>
      <c r="E268" s="37">
        <v>3655.26</v>
      </c>
      <c r="F268" s="27"/>
    </row>
    <row r="269" spans="1:6" ht="12.75" customHeight="1" x14ac:dyDescent="0.2">
      <c r="A269" t="s">
        <v>129</v>
      </c>
      <c r="B269" s="37">
        <v>7256</v>
      </c>
      <c r="C269" s="37">
        <v>1814.01</v>
      </c>
      <c r="D269" s="37">
        <v>2206.6799999999998</v>
      </c>
      <c r="E269" s="41">
        <v>-392.67</v>
      </c>
      <c r="F269" s="27"/>
    </row>
    <row r="270" spans="1:6" ht="12.75" customHeight="1" x14ac:dyDescent="0.2">
      <c r="A270" t="s">
        <v>130</v>
      </c>
      <c r="B270" s="26">
        <v>300</v>
      </c>
      <c r="C270" s="26">
        <v>75</v>
      </c>
      <c r="D270" s="26">
        <v>0</v>
      </c>
      <c r="E270" s="26">
        <v>75</v>
      </c>
      <c r="F270" s="27"/>
    </row>
    <row r="271" spans="1:6" ht="12.75" customHeight="1" x14ac:dyDescent="0.2">
      <c r="A271" t="s">
        <v>131</v>
      </c>
      <c r="B271" s="37">
        <v>6120</v>
      </c>
      <c r="C271" s="37">
        <v>1530</v>
      </c>
      <c r="D271" s="37">
        <v>1194.99</v>
      </c>
      <c r="E271" s="26">
        <v>335.01</v>
      </c>
      <c r="F271" s="27"/>
    </row>
    <row r="272" spans="1:6" ht="12.75" customHeight="1" x14ac:dyDescent="0.2">
      <c r="A272" t="s">
        <v>132</v>
      </c>
      <c r="B272" s="37">
        <v>1235</v>
      </c>
      <c r="C272" s="26">
        <v>308.76</v>
      </c>
      <c r="D272" s="26">
        <v>439.06</v>
      </c>
      <c r="E272" s="41">
        <v>-130.30000000000001</v>
      </c>
      <c r="F272" s="27"/>
    </row>
    <row r="273" spans="1:6" ht="12.75" customHeight="1" x14ac:dyDescent="0.2">
      <c r="A273" t="s">
        <v>133</v>
      </c>
      <c r="B273" s="37">
        <v>11500</v>
      </c>
      <c r="C273" s="37">
        <v>2874.99</v>
      </c>
      <c r="D273" s="37">
        <v>1160.44</v>
      </c>
      <c r="E273" s="37">
        <v>1714.55</v>
      </c>
      <c r="F273" s="27"/>
    </row>
    <row r="274" spans="1:6" ht="12.75" customHeight="1" x14ac:dyDescent="0.2">
      <c r="A274" t="s">
        <v>134</v>
      </c>
      <c r="B274" s="37">
        <v>1664</v>
      </c>
      <c r="C274" s="26">
        <v>416.01</v>
      </c>
      <c r="D274" s="26">
        <v>588.66</v>
      </c>
      <c r="E274" s="41">
        <v>-172.65</v>
      </c>
      <c r="F274" s="27"/>
    </row>
    <row r="275" spans="1:6" ht="12.75" customHeight="1" x14ac:dyDescent="0.2">
      <c r="A275" t="s">
        <v>135</v>
      </c>
      <c r="B275" s="37">
        <v>3880</v>
      </c>
      <c r="C275" s="26">
        <v>969.99</v>
      </c>
      <c r="D275" s="37">
        <v>1240.25</v>
      </c>
      <c r="E275" s="41">
        <v>-270.26</v>
      </c>
      <c r="F275" s="27"/>
    </row>
    <row r="276" spans="1:6" ht="12.75" customHeight="1" x14ac:dyDescent="0.2">
      <c r="A276" t="s">
        <v>136</v>
      </c>
      <c r="B276" s="37">
        <v>11907</v>
      </c>
      <c r="C276" s="37">
        <v>2976.75</v>
      </c>
      <c r="D276" s="37">
        <v>4807.67</v>
      </c>
      <c r="E276" s="42">
        <v>-1830.92</v>
      </c>
      <c r="F276" s="27"/>
    </row>
    <row r="277" spans="1:6" ht="12.75" customHeight="1" x14ac:dyDescent="0.2">
      <c r="A277" t="s">
        <v>137</v>
      </c>
      <c r="B277" s="37">
        <v>2063</v>
      </c>
      <c r="C277" s="26">
        <v>515.76</v>
      </c>
      <c r="D277" s="26">
        <v>620.17999999999995</v>
      </c>
      <c r="E277" s="41">
        <v>-104.42</v>
      </c>
      <c r="F277" s="27"/>
    </row>
    <row r="278" spans="1:6" ht="12.75" customHeight="1" x14ac:dyDescent="0.35">
      <c r="A278" t="s">
        <v>138</v>
      </c>
      <c r="B278" s="37">
        <v>11000</v>
      </c>
      <c r="C278" s="37">
        <v>2750.01</v>
      </c>
      <c r="D278" s="37">
        <v>2424.44</v>
      </c>
      <c r="E278" s="26">
        <v>325.57</v>
      </c>
      <c r="F278" s="25"/>
    </row>
    <row r="279" spans="1:6" ht="12" x14ac:dyDescent="0.35">
      <c r="A279" t="s">
        <v>139</v>
      </c>
      <c r="B279" s="26">
        <v>150</v>
      </c>
      <c r="C279" s="26">
        <v>37.5</v>
      </c>
      <c r="D279" s="26">
        <v>0</v>
      </c>
      <c r="E279" s="26">
        <v>37.5</v>
      </c>
      <c r="F279" s="25"/>
    </row>
    <row r="280" spans="1:6" x14ac:dyDescent="0.2">
      <c r="A280" t="s">
        <v>140</v>
      </c>
      <c r="B280" s="26">
        <v>500</v>
      </c>
      <c r="C280" s="26">
        <v>125.01</v>
      </c>
      <c r="D280" s="26">
        <v>44.98</v>
      </c>
      <c r="E280" s="26">
        <v>80.03</v>
      </c>
      <c r="F280" s="27"/>
    </row>
    <row r="281" spans="1:6" ht="12" x14ac:dyDescent="0.35">
      <c r="A281" t="s">
        <v>141</v>
      </c>
      <c r="B281" s="26">
        <v>950</v>
      </c>
      <c r="C281" s="26">
        <v>237.51</v>
      </c>
      <c r="D281" s="37">
        <v>1463.92</v>
      </c>
      <c r="E281" s="42">
        <v>-1226.4100000000001</v>
      </c>
      <c r="F281" s="28"/>
    </row>
    <row r="282" spans="1:6" ht="12" x14ac:dyDescent="0.35">
      <c r="A282" t="s">
        <v>142</v>
      </c>
      <c r="B282" s="43">
        <v>-418206</v>
      </c>
      <c r="C282" s="43">
        <v>-104551.5</v>
      </c>
      <c r="D282" s="43">
        <v>-122811.74</v>
      </c>
      <c r="E282" s="39">
        <v>18260.240000000002</v>
      </c>
    </row>
    <row r="283" spans="1:6" s="36" customFormat="1" ht="12" x14ac:dyDescent="0.35">
      <c r="A283" s="47" t="s">
        <v>143</v>
      </c>
      <c r="B283" s="54">
        <v>234460</v>
      </c>
      <c r="C283" s="54">
        <v>58615.05</v>
      </c>
      <c r="D283" s="54">
        <v>27217.439999999999</v>
      </c>
      <c r="E283" s="54">
        <v>31397.61</v>
      </c>
    </row>
    <row r="284" spans="1:6" x14ac:dyDescent="0.2">
      <c r="A284"/>
      <c r="B284" s="26"/>
      <c r="C284" s="26"/>
      <c r="D284" s="26"/>
      <c r="E284" s="26"/>
    </row>
    <row r="285" spans="1:6" s="36" customFormat="1" ht="12" x14ac:dyDescent="0.35">
      <c r="A285" s="47" t="s">
        <v>144</v>
      </c>
      <c r="B285" s="52">
        <v>100</v>
      </c>
      <c r="C285" s="52">
        <v>24.96</v>
      </c>
      <c r="D285" s="52">
        <v>0</v>
      </c>
      <c r="E285" s="53">
        <v>-24.96</v>
      </c>
    </row>
    <row r="286" spans="1:6" x14ac:dyDescent="0.2">
      <c r="A286"/>
      <c r="B286"/>
      <c r="C286" s="26"/>
      <c r="D286"/>
      <c r="E286" s="26"/>
    </row>
    <row r="287" spans="1:6" x14ac:dyDescent="0.2">
      <c r="A287"/>
      <c r="B287"/>
      <c r="C287" s="26"/>
      <c r="D287"/>
      <c r="E287" s="26"/>
    </row>
    <row r="288" spans="1:6" x14ac:dyDescent="0.2">
      <c r="A288"/>
      <c r="B288"/>
      <c r="C288" s="26"/>
      <c r="D288"/>
      <c r="E288" s="26"/>
    </row>
  </sheetData>
  <pageMargins left="0.75" right="0.75" top="1" bottom="1" header="0.5" footer="0.5"/>
  <pageSetup scale="85" fitToHeight="0" orientation="portrait" r:id="rId1"/>
  <headerFooter alignWithMargins="0">
    <oddHeader>&amp;"B"&amp;8&amp;"Tahoma"NeighborWorks of Western Vermont&amp;"B"
&amp;8&amp;"Tahoma"Statement of Revenues and Expenditures
&amp;8&amp;"Tahoma"From 1/1/2022 Through 1/31/2022</oddHeader>
    <oddFooter>&amp;R&amp;6&amp;"Tahoma"Page:  &amp;P</oddFooter>
  </headerFooter>
  <rowBreaks count="8" manualBreakCount="8">
    <brk id="35" max="16383" man="1"/>
    <brk id="78" max="16383" man="1"/>
    <brk id="124" max="16383" man="1"/>
    <brk id="164" max="16383" man="1"/>
    <brk id="176" max="16383" man="1"/>
    <brk id="201" max="16383" man="1"/>
    <brk id="240" max="16383" man="1"/>
    <brk id="281" max="16383" man="1"/>
  </rowBreaks>
  <colBreaks count="1" manualBreakCount="1">
    <brk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U28"/>
  <sheetViews>
    <sheetView workbookViewId="0">
      <selection activeCell="Y20" sqref="Y20"/>
    </sheetView>
  </sheetViews>
  <sheetFormatPr defaultRowHeight="10.199999999999999" x14ac:dyDescent="0.2"/>
  <cols>
    <col min="1" max="1" width="93.7109375" customWidth="1"/>
    <col min="2" max="2" width="38.140625" hidden="1" customWidth="1"/>
    <col min="3" max="3" width="37.7109375" hidden="1" customWidth="1"/>
    <col min="4" max="4" width="30.28515625" hidden="1" customWidth="1"/>
    <col min="5" max="6" width="30.42578125" hidden="1" customWidth="1"/>
    <col min="7" max="7" width="0.140625" customWidth="1"/>
    <col min="8" max="8" width="25" bestFit="1" customWidth="1"/>
    <col min="9" max="11" width="30.42578125" hidden="1" customWidth="1"/>
    <col min="12" max="12" width="25" bestFit="1" customWidth="1"/>
    <col min="13" max="15" width="30.42578125" hidden="1" customWidth="1"/>
    <col min="16" max="16" width="25" bestFit="1" customWidth="1"/>
    <col min="17" max="19" width="22.5703125" hidden="1" customWidth="1"/>
    <col min="20" max="21" width="25" bestFit="1" customWidth="1"/>
  </cols>
  <sheetData>
    <row r="1" spans="1:21" ht="22.2" x14ac:dyDescent="0.2">
      <c r="A1" s="57" t="s">
        <v>241</v>
      </c>
      <c r="B1" s="57">
        <v>42916</v>
      </c>
      <c r="C1" s="57">
        <v>43008</v>
      </c>
      <c r="D1" s="58">
        <v>43100</v>
      </c>
      <c r="E1" s="57">
        <v>43190</v>
      </c>
      <c r="F1" s="57">
        <v>43281</v>
      </c>
      <c r="G1" s="57">
        <v>43373</v>
      </c>
      <c r="H1" s="57">
        <v>43465</v>
      </c>
      <c r="I1" s="57">
        <v>43555</v>
      </c>
      <c r="J1" s="57">
        <v>43646</v>
      </c>
      <c r="K1" s="57">
        <v>43738</v>
      </c>
      <c r="L1" s="57">
        <v>43830</v>
      </c>
      <c r="M1" s="57">
        <v>43921</v>
      </c>
      <c r="N1" s="57">
        <v>44012</v>
      </c>
      <c r="O1" s="57">
        <v>44104</v>
      </c>
      <c r="P1" s="57">
        <v>44196</v>
      </c>
      <c r="Q1" s="57">
        <v>44286</v>
      </c>
      <c r="R1" s="57">
        <v>44377</v>
      </c>
      <c r="S1" s="57">
        <v>44469</v>
      </c>
      <c r="T1" s="57">
        <v>44561</v>
      </c>
      <c r="U1" s="57">
        <v>44651</v>
      </c>
    </row>
    <row r="2" spans="1:21" ht="22.2" x14ac:dyDescent="0.2">
      <c r="A2" s="59" t="s">
        <v>242</v>
      </c>
      <c r="B2" s="59">
        <v>88908.75</v>
      </c>
      <c r="C2" s="59">
        <f>113449.59-2000</f>
        <v>111449.59</v>
      </c>
      <c r="D2" s="59">
        <v>171891.31</v>
      </c>
      <c r="E2" s="59">
        <v>80031.59</v>
      </c>
      <c r="F2" s="59">
        <v>116155.32</v>
      </c>
      <c r="G2" s="59">
        <v>84461.06</v>
      </c>
      <c r="H2" s="59">
        <v>122639.53000000003</v>
      </c>
      <c r="I2" s="59">
        <v>245750.79000000007</v>
      </c>
      <c r="J2" s="59">
        <v>245750.79000000007</v>
      </c>
      <c r="K2" s="59">
        <v>245750.79000000007</v>
      </c>
      <c r="L2" s="59">
        <v>69078.38</v>
      </c>
      <c r="M2" s="59">
        <v>190906.45</v>
      </c>
      <c r="N2" s="59">
        <v>400072.33</v>
      </c>
      <c r="O2" s="59">
        <v>76315.02</v>
      </c>
      <c r="P2" s="59">
        <v>139857.25</v>
      </c>
      <c r="Q2" s="59">
        <v>415377.27999999997</v>
      </c>
      <c r="R2" s="59">
        <v>137957.57</v>
      </c>
      <c r="S2" s="59">
        <v>72026.3</v>
      </c>
      <c r="T2" s="59">
        <v>34655.03</v>
      </c>
      <c r="U2" s="59">
        <v>355690.32999999996</v>
      </c>
    </row>
    <row r="3" spans="1:21" ht="22.2" x14ac:dyDescent="0.2">
      <c r="A3" s="59" t="s">
        <v>243</v>
      </c>
      <c r="B3" s="59">
        <f>1677527-B9-515262</f>
        <v>562127</v>
      </c>
      <c r="C3" s="59">
        <f>696850.91-C9</f>
        <v>96712.910000000033</v>
      </c>
      <c r="D3" s="59">
        <f>66149+1037667</f>
        <v>1103816</v>
      </c>
      <c r="E3" s="59">
        <f>357602+472267</f>
        <v>829869</v>
      </c>
      <c r="F3" s="59">
        <f>115000+1026903</f>
        <v>1141903</v>
      </c>
      <c r="G3" s="59">
        <v>286292</v>
      </c>
      <c r="H3" s="59">
        <v>188453.09999999998</v>
      </c>
      <c r="I3" s="59">
        <v>306180.12</v>
      </c>
      <c r="J3" s="59">
        <v>306180.12</v>
      </c>
      <c r="K3" s="59">
        <v>306180.12</v>
      </c>
      <c r="L3" s="59">
        <v>1047679.8</v>
      </c>
      <c r="M3" s="59">
        <v>1348234.88</v>
      </c>
      <c r="N3" s="59">
        <v>1253248.2000000002</v>
      </c>
      <c r="O3" s="59">
        <v>1071851.5900000001</v>
      </c>
      <c r="P3" s="59">
        <v>1115761.6100000001</v>
      </c>
      <c r="Q3" s="59">
        <v>1426126.0799999998</v>
      </c>
      <c r="R3" s="59">
        <v>1550822.46</v>
      </c>
      <c r="S3" s="59">
        <v>2480305.9499999997</v>
      </c>
      <c r="T3" s="59">
        <v>2302718.9700000002</v>
      </c>
      <c r="U3" s="59">
        <v>2353106.13</v>
      </c>
    </row>
    <row r="4" spans="1:21" ht="22.2" x14ac:dyDescent="0.2">
      <c r="A4" s="60" t="s">
        <v>244</v>
      </c>
      <c r="B4" s="60">
        <f>1456.1+145338.97</f>
        <v>146795.07</v>
      </c>
      <c r="C4" s="60">
        <f>3403.44+231720.02</f>
        <v>235123.46</v>
      </c>
      <c r="D4" s="60">
        <f>39488.09+299400.88</f>
        <v>338888.97</v>
      </c>
      <c r="E4" s="60">
        <f>121398.93+406669</f>
        <v>528067.92999999993</v>
      </c>
      <c r="F4" s="60">
        <f>238257.63-115000+298077</f>
        <v>421334.63</v>
      </c>
      <c r="G4" s="60">
        <v>200722.7</v>
      </c>
      <c r="H4" s="60">
        <v>218704</v>
      </c>
      <c r="I4" s="60">
        <v>150757.19</v>
      </c>
      <c r="J4" s="60">
        <v>150757.19</v>
      </c>
      <c r="K4" s="60">
        <v>150757.19</v>
      </c>
      <c r="L4" s="60">
        <v>84801.84</v>
      </c>
      <c r="M4" s="60">
        <v>90265.09</v>
      </c>
      <c r="N4" s="60">
        <v>106617.97</v>
      </c>
      <c r="O4" s="60">
        <v>103698.15999999999</v>
      </c>
      <c r="P4" s="60">
        <v>112109.87</v>
      </c>
      <c r="Q4" s="60">
        <v>109684.5</v>
      </c>
      <c r="R4" s="60">
        <v>102933.37</v>
      </c>
      <c r="S4" s="60">
        <v>97852.59</v>
      </c>
      <c r="T4" s="60">
        <v>100653.98</v>
      </c>
      <c r="U4" s="60">
        <v>96617.75</v>
      </c>
    </row>
    <row r="5" spans="1:21" ht="22.2" x14ac:dyDescent="0.2">
      <c r="A5" s="60" t="s">
        <v>245</v>
      </c>
      <c r="B5" s="60"/>
      <c r="C5" s="60">
        <v>0</v>
      </c>
      <c r="D5" s="60">
        <v>0</v>
      </c>
      <c r="E5" s="60">
        <v>0</v>
      </c>
      <c r="F5" s="60">
        <v>0</v>
      </c>
      <c r="G5" s="60">
        <v>313861.61</v>
      </c>
      <c r="H5" s="60">
        <v>195490.8</v>
      </c>
      <c r="I5" s="60">
        <v>93972.040000000008</v>
      </c>
      <c r="J5" s="60">
        <v>93972.040000000008</v>
      </c>
      <c r="K5" s="60">
        <v>93972.040000000008</v>
      </c>
      <c r="L5" s="60">
        <v>140071.14000000001</v>
      </c>
      <c r="M5" s="60">
        <v>133558.66</v>
      </c>
      <c r="N5" s="60">
        <v>108754.68999999999</v>
      </c>
      <c r="O5" s="60">
        <v>253658.13</v>
      </c>
      <c r="P5" s="60">
        <v>177290.84</v>
      </c>
      <c r="Q5" s="60">
        <v>160998.76999999999</v>
      </c>
      <c r="R5" s="60">
        <v>153519.82999999999</v>
      </c>
      <c r="S5" s="60">
        <v>97146.7</v>
      </c>
      <c r="T5" s="60">
        <v>113772.63</v>
      </c>
      <c r="U5" s="60">
        <v>64097.17</v>
      </c>
    </row>
    <row r="6" spans="1:21" ht="22.2" x14ac:dyDescent="0.2">
      <c r="A6" s="60" t="s">
        <v>246</v>
      </c>
      <c r="B6" s="60">
        <v>6865.34</v>
      </c>
      <c r="C6" s="60">
        <f>2000+75000+3960.77</f>
        <v>80960.77</v>
      </c>
      <c r="D6" s="60">
        <v>79476.3</v>
      </c>
      <c r="E6" s="60">
        <f>6996.18+75000-15000</f>
        <v>66996.179999999993</v>
      </c>
      <c r="F6" s="60">
        <f>153677.61-89221</f>
        <v>64456.609999999986</v>
      </c>
      <c r="G6" s="60">
        <v>0</v>
      </c>
      <c r="H6" s="60">
        <v>0</v>
      </c>
      <c r="I6" s="60">
        <v>0</v>
      </c>
      <c r="J6" s="60">
        <v>0</v>
      </c>
      <c r="K6" s="60">
        <v>0</v>
      </c>
      <c r="L6" s="60">
        <v>27050.37</v>
      </c>
      <c r="M6" s="60">
        <v>60961.170000000006</v>
      </c>
      <c r="N6" s="60">
        <v>64574.36</v>
      </c>
      <c r="O6" s="60">
        <v>1372311.76</v>
      </c>
      <c r="P6" s="60">
        <v>367015.37</v>
      </c>
      <c r="Q6" s="60">
        <v>300297.8</v>
      </c>
      <c r="R6" s="60">
        <v>292117.05</v>
      </c>
      <c r="S6" s="60">
        <v>118900.46</v>
      </c>
      <c r="T6" s="60">
        <v>6511.8</v>
      </c>
      <c r="U6" s="60">
        <v>6511.8</v>
      </c>
    </row>
    <row r="7" spans="1:21" ht="22.2" x14ac:dyDescent="0.2">
      <c r="A7" s="59" t="s">
        <v>247</v>
      </c>
      <c r="B7" s="59">
        <f>1289154.87+515262-145338.97</f>
        <v>1659077.9000000001</v>
      </c>
      <c r="C7" s="59">
        <f>1734087.86-75000-231720.02</f>
        <v>1427367.84</v>
      </c>
      <c r="D7" s="59">
        <f>915541.4-183460+425000-299400.88</f>
        <v>857680.5199999999</v>
      </c>
      <c r="E7" s="59">
        <f>774388.41+425000-183460-406669</f>
        <v>609259.41000000015</v>
      </c>
      <c r="F7" s="59">
        <f>796322.46-298077</f>
        <v>498245.45999999996</v>
      </c>
      <c r="G7" s="59">
        <v>413621.56</v>
      </c>
      <c r="H7" s="59">
        <v>184269.19</v>
      </c>
      <c r="I7" s="59">
        <v>606494.29</v>
      </c>
      <c r="J7" s="59">
        <v>606494.29</v>
      </c>
      <c r="K7" s="59">
        <v>606494.29</v>
      </c>
      <c r="L7" s="59">
        <v>404964.84</v>
      </c>
      <c r="M7" s="59">
        <v>525194.03</v>
      </c>
      <c r="N7" s="59">
        <v>626719.1</v>
      </c>
      <c r="O7" s="59">
        <v>677799.89</v>
      </c>
      <c r="P7" s="59">
        <v>610631.71</v>
      </c>
      <c r="Q7" s="59">
        <v>647724.19000000006</v>
      </c>
      <c r="R7" s="59">
        <v>647362.52</v>
      </c>
      <c r="S7" s="59">
        <v>493891.80000000005</v>
      </c>
      <c r="T7" s="59">
        <v>352894.63</v>
      </c>
      <c r="U7" s="59">
        <v>457823.13</v>
      </c>
    </row>
    <row r="8" spans="1:21" ht="22.2" x14ac:dyDescent="0.2">
      <c r="A8" s="61" t="s">
        <v>248</v>
      </c>
      <c r="B8" s="61">
        <f t="shared" ref="B8:H8" si="0">SUM(B2:B7)</f>
        <v>2463774.06</v>
      </c>
      <c r="C8" s="61">
        <f t="shared" si="0"/>
        <v>1951614.57</v>
      </c>
      <c r="D8" s="61">
        <f t="shared" si="0"/>
        <v>2551753.1</v>
      </c>
      <c r="E8" s="61">
        <f t="shared" si="0"/>
        <v>2114224.1100000003</v>
      </c>
      <c r="F8" s="61">
        <f t="shared" si="0"/>
        <v>2242095.02</v>
      </c>
      <c r="G8" s="61">
        <f t="shared" si="0"/>
        <v>1298958.93</v>
      </c>
      <c r="H8" s="61">
        <v>909556.61999999988</v>
      </c>
      <c r="I8" s="61">
        <v>1403154.4300000002</v>
      </c>
      <c r="J8" s="61">
        <v>1403154.4300000002</v>
      </c>
      <c r="K8" s="61">
        <v>1403154.4300000002</v>
      </c>
      <c r="L8" s="61">
        <v>1773646.3700000003</v>
      </c>
      <c r="M8" s="61">
        <v>2349120.2799999998</v>
      </c>
      <c r="N8" s="61">
        <v>2559986.6500000004</v>
      </c>
      <c r="O8" s="61">
        <v>3555634.5500000003</v>
      </c>
      <c r="P8" s="61">
        <v>2522666.65</v>
      </c>
      <c r="Q8" s="61">
        <v>3060208.6199999996</v>
      </c>
      <c r="R8" s="61">
        <v>2884712.8</v>
      </c>
      <c r="S8" s="61">
        <v>3360123.8</v>
      </c>
      <c r="T8" s="61">
        <v>2911207.0399999996</v>
      </c>
      <c r="U8" s="61">
        <v>3333846.3099999996</v>
      </c>
    </row>
    <row r="9" spans="1:21" ht="22.2" x14ac:dyDescent="0.2">
      <c r="A9" s="60" t="s">
        <v>249</v>
      </c>
      <c r="B9" s="60">
        <v>600138</v>
      </c>
      <c r="C9" s="60">
        <f t="shared" ref="C9:J9" si="1">+B9</f>
        <v>600138</v>
      </c>
      <c r="D9" s="60">
        <f t="shared" si="1"/>
        <v>600138</v>
      </c>
      <c r="E9" s="60">
        <f t="shared" si="1"/>
        <v>600138</v>
      </c>
      <c r="F9" s="60">
        <f t="shared" si="1"/>
        <v>600138</v>
      </c>
      <c r="G9" s="60">
        <f t="shared" si="1"/>
        <v>600138</v>
      </c>
      <c r="H9" s="60">
        <v>600138</v>
      </c>
      <c r="I9" s="60">
        <v>600138</v>
      </c>
      <c r="J9" s="60">
        <v>600138</v>
      </c>
      <c r="K9" s="60">
        <v>600138</v>
      </c>
      <c r="L9" s="60">
        <v>600138</v>
      </c>
      <c r="M9" s="60">
        <v>640890</v>
      </c>
      <c r="N9" s="60">
        <v>640890</v>
      </c>
      <c r="O9" s="60">
        <v>640890</v>
      </c>
      <c r="P9" s="60">
        <v>640890</v>
      </c>
      <c r="Q9" s="60">
        <v>699467.16</v>
      </c>
      <c r="R9" s="62">
        <v>699467.16</v>
      </c>
      <c r="S9" s="62">
        <v>718964</v>
      </c>
      <c r="T9" s="62">
        <v>704655</v>
      </c>
      <c r="U9" s="62">
        <v>620656.61</v>
      </c>
    </row>
    <row r="10" spans="1:21" ht="22.2" x14ac:dyDescent="0.2">
      <c r="A10" s="60" t="s">
        <v>250</v>
      </c>
      <c r="B10" s="60">
        <v>600138</v>
      </c>
      <c r="C10" s="60">
        <f>+B10</f>
        <v>600138</v>
      </c>
      <c r="D10" s="60">
        <f>+D2+D3</f>
        <v>1275707.31</v>
      </c>
      <c r="E10" s="60">
        <f t="shared" ref="E10:G10" si="2">+E2+E3</f>
        <v>909900.59</v>
      </c>
      <c r="F10" s="60">
        <f t="shared" si="2"/>
        <v>1258058.32</v>
      </c>
      <c r="G10" s="60">
        <f t="shared" si="2"/>
        <v>370753.06</v>
      </c>
      <c r="H10" s="60">
        <v>311092.63</v>
      </c>
      <c r="I10" s="60">
        <v>551930.91</v>
      </c>
      <c r="J10" s="60">
        <v>551930.91</v>
      </c>
      <c r="K10" s="60">
        <v>551930.91</v>
      </c>
      <c r="L10" s="60">
        <v>1116758.1800000002</v>
      </c>
      <c r="M10" s="60">
        <v>1539141.3299999998</v>
      </c>
      <c r="N10" s="60">
        <v>1653320.5300000003</v>
      </c>
      <c r="O10" s="60">
        <v>1148166.6100000001</v>
      </c>
      <c r="P10" s="60">
        <v>1255618.8600000001</v>
      </c>
      <c r="Q10" s="60">
        <v>1841503.3599999999</v>
      </c>
      <c r="R10" s="60">
        <v>1688780.03</v>
      </c>
      <c r="S10" s="60">
        <v>2552332.2499999995</v>
      </c>
      <c r="T10" s="60">
        <v>2337374</v>
      </c>
      <c r="U10" s="60">
        <v>2708796.46</v>
      </c>
    </row>
    <row r="11" spans="1:21" ht="22.2" x14ac:dyDescent="0.2">
      <c r="A11" s="60" t="s">
        <v>251</v>
      </c>
      <c r="B11" s="60"/>
      <c r="C11" s="60"/>
      <c r="D11" s="60">
        <f>+D10/N9</f>
        <v>1.9905245986050648</v>
      </c>
      <c r="E11" s="60">
        <f>+E10/N9</f>
        <v>1.4197453385136294</v>
      </c>
      <c r="F11" s="60">
        <f>+F10/N9</f>
        <v>1.9629863471110487</v>
      </c>
      <c r="G11" s="60">
        <f>+G10/N9</f>
        <v>0.57849718360405067</v>
      </c>
      <c r="H11" s="60">
        <v>46.653164272217388</v>
      </c>
      <c r="I11" s="60">
        <v>0.86119444834526993</v>
      </c>
      <c r="J11" s="60">
        <v>0.86119444834526993</v>
      </c>
      <c r="K11" s="60">
        <v>0.86119444834526993</v>
      </c>
      <c r="L11" s="60">
        <v>167.47520770222852</v>
      </c>
      <c r="M11" s="60">
        <v>216.14117820530822</v>
      </c>
      <c r="N11" s="60">
        <v>232.17533071197869</v>
      </c>
      <c r="O11" s="60">
        <v>161.23670973177926</v>
      </c>
      <c r="P11" s="60">
        <v>176.32619856761693</v>
      </c>
      <c r="Q11" s="60">
        <v>236.94508030941722</v>
      </c>
      <c r="R11" s="60">
        <v>217.29426539481855</v>
      </c>
      <c r="S11" s="60">
        <v>319.50125806020878</v>
      </c>
      <c r="T11" s="60">
        <v>298.53426144709113</v>
      </c>
      <c r="U11" s="60">
        <v>392.79639896206049</v>
      </c>
    </row>
    <row r="13" spans="1:21" ht="22.2" x14ac:dyDescent="0.2">
      <c r="A13" s="63" t="s">
        <v>252</v>
      </c>
      <c r="B13" s="63">
        <f t="shared" ref="B13:O13" si="3">+B1</f>
        <v>42916</v>
      </c>
      <c r="C13" s="63">
        <f t="shared" si="3"/>
        <v>43008</v>
      </c>
      <c r="D13" s="63">
        <f t="shared" si="3"/>
        <v>43100</v>
      </c>
      <c r="E13" s="64">
        <f t="shared" si="3"/>
        <v>43190</v>
      </c>
      <c r="F13" s="64">
        <f t="shared" si="3"/>
        <v>43281</v>
      </c>
      <c r="G13" s="64">
        <f t="shared" si="3"/>
        <v>43373</v>
      </c>
      <c r="H13" s="64">
        <f t="shared" si="3"/>
        <v>43465</v>
      </c>
      <c r="I13" s="64">
        <f t="shared" si="3"/>
        <v>43555</v>
      </c>
      <c r="J13" s="64">
        <f t="shared" si="3"/>
        <v>43646</v>
      </c>
      <c r="K13" s="64">
        <f t="shared" si="3"/>
        <v>43738</v>
      </c>
      <c r="L13" s="64">
        <f t="shared" si="3"/>
        <v>43830</v>
      </c>
      <c r="M13" s="64">
        <f t="shared" si="3"/>
        <v>43921</v>
      </c>
      <c r="N13" s="64">
        <f t="shared" si="3"/>
        <v>44012</v>
      </c>
      <c r="O13" s="64">
        <f t="shared" si="3"/>
        <v>44104</v>
      </c>
      <c r="P13" s="64">
        <f>P1</f>
        <v>44196</v>
      </c>
      <c r="Q13" s="64">
        <v>44286</v>
      </c>
      <c r="R13" s="64">
        <v>44377</v>
      </c>
      <c r="S13" s="64">
        <f>S1</f>
        <v>44469</v>
      </c>
      <c r="T13" s="64">
        <f>T1</f>
        <v>44561</v>
      </c>
      <c r="U13" s="64">
        <f>U1</f>
        <v>44651</v>
      </c>
    </row>
    <row r="14" spans="1:21" ht="22.2" x14ac:dyDescent="0.45">
      <c r="A14" s="65" t="s">
        <v>253</v>
      </c>
      <c r="B14" s="66">
        <f>+B2/22178.42</f>
        <v>4.0087954867839999</v>
      </c>
      <c r="C14" s="67">
        <f>+C2/22494</f>
        <v>4.9546363474704362</v>
      </c>
      <c r="D14" s="67">
        <f>+D2/244927.14</f>
        <v>0.70180589215225386</v>
      </c>
      <c r="E14" s="68">
        <f>+E2/127777.54</f>
        <v>0.62633534813708258</v>
      </c>
      <c r="F14" s="68">
        <f>+F2/87978.79</f>
        <v>1.3202650320605684</v>
      </c>
      <c r="G14" s="68">
        <f>+G2/124979.78</f>
        <v>0.67579779705165111</v>
      </c>
      <c r="H14" s="68">
        <f>+H2/200199.5</f>
        <v>0.61258659487161571</v>
      </c>
      <c r="I14" s="68">
        <f t="shared" ref="I14:K14" si="4">+I2/(276513.49-118105)</f>
        <v>1.5513738562876276</v>
      </c>
      <c r="J14" s="68">
        <f t="shared" si="4"/>
        <v>1.5513738562876276</v>
      </c>
      <c r="K14" s="68">
        <f t="shared" si="4"/>
        <v>1.5513738562876276</v>
      </c>
      <c r="L14" s="68">
        <f>+L2/(60293.19)</f>
        <v>1.1457078320122058</v>
      </c>
      <c r="M14" s="68">
        <f>+M2/(67519)</f>
        <v>2.8274478294998446</v>
      </c>
      <c r="N14" s="68">
        <f>+N2/69503.94</f>
        <v>5.7561100852699862</v>
      </c>
      <c r="O14" s="68">
        <f>+O2/66689.34</f>
        <v>1.1443361112885508</v>
      </c>
      <c r="P14" s="68">
        <f>+P2/(28081.48+4650+560.76)</f>
        <v>4.2008963650388198</v>
      </c>
      <c r="Q14" s="68">
        <f>+Q2/(937.96+6819.9+125+907.91+171.47+394.53+3567.62+147421.22)</f>
        <v>2.590512331457032</v>
      </c>
      <c r="R14" s="68">
        <f>+R2/(25345.98+1464.78+1239.25+75+1327)</f>
        <v>4.6841478730993238</v>
      </c>
      <c r="S14" s="68">
        <f>+S2/(12398.13+22017.86+1441.02+560.76)</f>
        <v>1.9777789798771317</v>
      </c>
      <c r="T14" s="68">
        <f>+T2/(39069.33+560.76)</f>
        <v>0.87446256114987364</v>
      </c>
      <c r="U14" s="68">
        <v>21.638823794227868</v>
      </c>
    </row>
    <row r="15" spans="1:21" ht="22.2" x14ac:dyDescent="0.45">
      <c r="A15" s="69" t="s">
        <v>254</v>
      </c>
      <c r="B15" s="70" t="s">
        <v>255</v>
      </c>
      <c r="C15" s="70" t="s">
        <v>255</v>
      </c>
      <c r="D15" s="70" t="s">
        <v>255</v>
      </c>
      <c r="E15" s="70" t="s">
        <v>255</v>
      </c>
      <c r="F15" s="70" t="s">
        <v>255</v>
      </c>
      <c r="G15" s="70" t="s">
        <v>255</v>
      </c>
      <c r="H15" s="70" t="s">
        <v>255</v>
      </c>
      <c r="I15" s="70" t="s">
        <v>255</v>
      </c>
      <c r="J15" s="70" t="s">
        <v>255</v>
      </c>
      <c r="K15" s="70" t="s">
        <v>255</v>
      </c>
      <c r="L15" s="70" t="s">
        <v>255</v>
      </c>
      <c r="M15" s="70" t="s">
        <v>255</v>
      </c>
      <c r="N15" s="70" t="s">
        <v>255</v>
      </c>
      <c r="O15" s="70" t="s">
        <v>255</v>
      </c>
      <c r="P15" s="70" t="s">
        <v>255</v>
      </c>
      <c r="Q15" s="70" t="s">
        <v>255</v>
      </c>
      <c r="R15" s="70" t="s">
        <v>255</v>
      </c>
      <c r="S15" s="70" t="s">
        <v>255</v>
      </c>
      <c r="T15" s="70" t="s">
        <v>255</v>
      </c>
      <c r="U15" s="70" t="s">
        <v>255</v>
      </c>
    </row>
    <row r="16" spans="1:21" ht="16.2" x14ac:dyDescent="0.35">
      <c r="A16" s="71" t="s">
        <v>256</v>
      </c>
      <c r="B16" s="72"/>
      <c r="C16" s="72"/>
      <c r="D16" s="72"/>
      <c r="E16" s="72"/>
      <c r="F16" s="72"/>
      <c r="G16" s="72"/>
      <c r="H16" s="72"/>
      <c r="I16" s="72"/>
      <c r="J16" s="72"/>
      <c r="K16" s="72"/>
      <c r="L16" s="72"/>
      <c r="M16" s="72"/>
      <c r="N16" s="72"/>
      <c r="O16" s="72"/>
      <c r="P16" s="72"/>
      <c r="Q16" s="72"/>
      <c r="R16" s="72"/>
      <c r="S16" s="73"/>
      <c r="T16" s="73"/>
      <c r="U16" s="73"/>
    </row>
    <row r="17" spans="1:21" ht="22.2" x14ac:dyDescent="0.45">
      <c r="A17" s="74" t="s">
        <v>257</v>
      </c>
      <c r="B17" s="75">
        <f>+(B2+B9+B3+B4)/(346517.39)</f>
        <v>4.0343395752807671</v>
      </c>
      <c r="C17" s="76">
        <f>+(C2+C9+C3+C4)/(408225.42)</f>
        <v>2.5559994769556487</v>
      </c>
      <c r="D17" s="76">
        <f>+(D2+D3+D4)/(678253.6)</f>
        <v>2.3805200296762155</v>
      </c>
      <c r="E17" s="77">
        <f>+(E2+E3+E4)/(662680.63)</f>
        <v>2.16992689223465</v>
      </c>
      <c r="F17" s="77">
        <f>+(F2+F3+F4)/(517046.63)</f>
        <v>3.2480493103687769</v>
      </c>
      <c r="G17" s="77">
        <f>+(G2+G3+G4+G5)/595760.53</f>
        <v>1.4860624788285319</v>
      </c>
      <c r="H17" s="77">
        <f>+(H2+H3+H4+H5)/537965.54</f>
        <v>1.3482042548673283</v>
      </c>
      <c r="I17" s="77">
        <f t="shared" ref="I17:L17" si="5">+(I2+I3+I4+I5)/(490496.5+4993.68)</f>
        <v>1.6078222579507027</v>
      </c>
      <c r="J17" s="77">
        <f t="shared" si="5"/>
        <v>1.6078222579507027</v>
      </c>
      <c r="K17" s="77">
        <f t="shared" si="5"/>
        <v>1.6078222579507027</v>
      </c>
      <c r="L17" s="77">
        <f t="shared" si="5"/>
        <v>2.7076846608746115</v>
      </c>
      <c r="M17" s="77">
        <f>+(M2+M3+M4+M5)/(904341.01-107695.3)</f>
        <v>2.21298509220617</v>
      </c>
      <c r="N17" s="77">
        <f>+(N2+N3+N4+N5)/(891169.51-107695.3)</f>
        <v>2.3851368253716996</v>
      </c>
      <c r="O17" s="77">
        <f>+(O2+O3+O4+O5)/(2393323-1457695.3)</f>
        <v>1.6091046684487857</v>
      </c>
      <c r="P17" s="77">
        <f>+(P2+P3+P4+P5)/(1320783.73-342968.47)</f>
        <v>1.5800730804712539</v>
      </c>
      <c r="Q17" s="77">
        <f>+(Q2+Q3+Q4+Q5)/(1320783.73-342968.47)</f>
        <v>2.1601080658119405</v>
      </c>
      <c r="R17" s="77">
        <f>+(R2+R3+R4+R5)/(1331575.62-348759.48-170444.78)</f>
        <v>2.3945123200798215</v>
      </c>
      <c r="S17" s="77">
        <f>+(S2+S3+S4+S5)/(1143873.5-202287.48)</f>
        <v>2.9177701045306508</v>
      </c>
      <c r="T17" s="77">
        <f>+(T2+T3+T4+T5+T6)/(1008912.9)</f>
        <v>2.5357118637297624</v>
      </c>
      <c r="U17" s="77">
        <v>2.7416091347685643</v>
      </c>
    </row>
    <row r="18" spans="1:21" ht="22.2" x14ac:dyDescent="0.45">
      <c r="A18" s="78" t="s">
        <v>258</v>
      </c>
      <c r="B18" s="70" t="s">
        <v>255</v>
      </c>
      <c r="C18" s="70" t="s">
        <v>255</v>
      </c>
      <c r="D18" s="70" t="s">
        <v>255</v>
      </c>
      <c r="E18" s="70" t="s">
        <v>255</v>
      </c>
      <c r="F18" s="70" t="s">
        <v>255</v>
      </c>
      <c r="G18" s="70" t="s">
        <v>255</v>
      </c>
      <c r="H18" s="70" t="s">
        <v>255</v>
      </c>
      <c r="I18" s="70" t="s">
        <v>255</v>
      </c>
      <c r="J18" s="70" t="s">
        <v>255</v>
      </c>
      <c r="K18" s="70" t="s">
        <v>255</v>
      </c>
      <c r="L18" s="70" t="s">
        <v>255</v>
      </c>
      <c r="M18" s="70" t="s">
        <v>255</v>
      </c>
      <c r="N18" s="70" t="s">
        <v>255</v>
      </c>
      <c r="O18" s="70" t="s">
        <v>255</v>
      </c>
      <c r="P18" s="70" t="s">
        <v>255</v>
      </c>
      <c r="Q18" s="70" t="s">
        <v>255</v>
      </c>
      <c r="R18" s="70" t="s">
        <v>255</v>
      </c>
      <c r="S18" s="70" t="s">
        <v>255</v>
      </c>
      <c r="T18" s="70" t="s">
        <v>255</v>
      </c>
      <c r="U18" s="70" t="s">
        <v>255</v>
      </c>
    </row>
    <row r="19" spans="1:21" ht="16.2" x14ac:dyDescent="0.35">
      <c r="A19" s="79" t="s">
        <v>259</v>
      </c>
      <c r="B19" s="72"/>
      <c r="C19" s="72"/>
      <c r="D19" s="72"/>
      <c r="E19" s="72"/>
      <c r="F19" s="72"/>
      <c r="G19" s="72"/>
      <c r="H19" s="72"/>
      <c r="I19" s="72"/>
      <c r="J19" s="72"/>
      <c r="K19" s="72"/>
      <c r="L19" s="72"/>
      <c r="M19" s="72"/>
      <c r="N19" s="72"/>
      <c r="O19" s="72"/>
      <c r="P19" s="72"/>
      <c r="Q19" s="72"/>
      <c r="R19" s="72"/>
      <c r="S19" s="73"/>
      <c r="T19" s="73"/>
      <c r="U19" s="73"/>
    </row>
    <row r="20" spans="1:21" ht="22.2" x14ac:dyDescent="0.45">
      <c r="A20" s="74" t="s">
        <v>260</v>
      </c>
      <c r="B20" s="75">
        <f>2823009/346517.39</f>
        <v>8.1468032527891303</v>
      </c>
      <c r="C20" s="76">
        <f>2818728/408225</f>
        <v>6.9048392430644867</v>
      </c>
      <c r="D20" s="76">
        <f>3155124/678253.6</f>
        <v>4.6518352427469605</v>
      </c>
      <c r="E20" s="77">
        <f>2939950.79/662680.63</f>
        <v>4.4364519753655696</v>
      </c>
      <c r="F20" s="77">
        <f>2535823/517046.63</f>
        <v>4.9044377293398078</v>
      </c>
      <c r="G20" s="77">
        <f>3189705.71/597760.53</f>
        <v>5.3360928832152901</v>
      </c>
      <c r="H20" s="77">
        <f>2959771/537463</f>
        <v>5.5069297793522534</v>
      </c>
      <c r="I20" s="77">
        <f t="shared" ref="I20:K20" si="6">2643557.6/490496.54</f>
        <v>5.3895540221343872</v>
      </c>
      <c r="J20" s="77">
        <f t="shared" si="6"/>
        <v>5.3895540221343872</v>
      </c>
      <c r="K20" s="77">
        <f t="shared" si="6"/>
        <v>5.3895540221343872</v>
      </c>
      <c r="L20" s="77">
        <f>3497711.82/904341.01</f>
        <v>3.8676912595172475</v>
      </c>
      <c r="M20" s="77">
        <f>3497712/904341</f>
        <v>3.8676915013252744</v>
      </c>
      <c r="N20" s="77">
        <f>3479131.38/891169.51</f>
        <v>3.9040062984201511</v>
      </c>
      <c r="O20" s="77">
        <f>3265996.66/(2393323.16-1457695.3)</f>
        <v>3.4907005227484351</v>
      </c>
      <c r="P20" s="77">
        <f>2761557.68/(1320783.76-342968.47)</f>
        <v>2.8242120042937762</v>
      </c>
      <c r="Q20" s="77">
        <f>3382012.88/1378741.14</f>
        <v>2.4529716143815077</v>
      </c>
      <c r="R20" s="77">
        <f>4190119.14/1331575.62</f>
        <v>3.1467376520456267</v>
      </c>
      <c r="S20" s="77">
        <f>4220127.52/1205317.7</f>
        <v>3.5012574029237267</v>
      </c>
      <c r="T20" s="77">
        <f>4109759.18/1008912.9</f>
        <v>4.0734529016330354</v>
      </c>
      <c r="U20" s="77">
        <v>4.3941893457658638</v>
      </c>
    </row>
    <row r="21" spans="1:21" ht="22.2" x14ac:dyDescent="0.45">
      <c r="A21" s="78" t="s">
        <v>261</v>
      </c>
      <c r="B21" s="70" t="s">
        <v>255</v>
      </c>
      <c r="C21" s="70" t="s">
        <v>255</v>
      </c>
      <c r="D21" s="70" t="s">
        <v>255</v>
      </c>
      <c r="E21" s="70" t="s">
        <v>255</v>
      </c>
      <c r="F21" s="70" t="s">
        <v>255</v>
      </c>
      <c r="G21" s="70" t="s">
        <v>255</v>
      </c>
      <c r="H21" s="70" t="s">
        <v>255</v>
      </c>
      <c r="I21" s="70" t="s">
        <v>255</v>
      </c>
      <c r="J21" s="70" t="s">
        <v>255</v>
      </c>
      <c r="K21" s="70" t="s">
        <v>255</v>
      </c>
      <c r="L21" s="70" t="s">
        <v>255</v>
      </c>
      <c r="M21" s="70" t="s">
        <v>255</v>
      </c>
      <c r="N21" s="70" t="s">
        <v>255</v>
      </c>
      <c r="O21" s="70" t="s">
        <v>255</v>
      </c>
      <c r="P21" s="70" t="s">
        <v>255</v>
      </c>
      <c r="Q21" s="70" t="s">
        <v>255</v>
      </c>
      <c r="R21" s="70" t="s">
        <v>255</v>
      </c>
      <c r="S21" s="70" t="s">
        <v>255</v>
      </c>
      <c r="T21" s="70" t="s">
        <v>255</v>
      </c>
      <c r="U21" s="70" t="s">
        <v>255</v>
      </c>
    </row>
    <row r="22" spans="1:21" ht="16.2" customHeight="1" x14ac:dyDescent="0.35">
      <c r="A22" s="80" t="s">
        <v>262</v>
      </c>
      <c r="B22" s="81"/>
      <c r="C22" s="81"/>
      <c r="D22" s="81"/>
      <c r="E22" s="81"/>
      <c r="F22" s="81"/>
      <c r="G22" s="81"/>
      <c r="H22" s="81"/>
      <c r="I22" s="81"/>
      <c r="J22" s="81"/>
      <c r="K22" s="81"/>
      <c r="L22" s="81"/>
      <c r="M22" s="81"/>
      <c r="N22" s="81"/>
      <c r="O22" s="81"/>
      <c r="P22" s="81"/>
      <c r="Q22" s="81"/>
      <c r="R22" s="81"/>
      <c r="S22" s="81"/>
      <c r="T22" s="81"/>
      <c r="U22" s="73"/>
    </row>
    <row r="23" spans="1:21" ht="22.2" x14ac:dyDescent="0.45">
      <c r="A23" s="74" t="s">
        <v>263</v>
      </c>
      <c r="B23" s="82">
        <f>5823661.64/9830026</f>
        <v>0.59243603628311869</v>
      </c>
      <c r="C23" s="82">
        <f>6371676/9783498</f>
        <v>0.6512676754265192</v>
      </c>
      <c r="D23" s="82">
        <f>6106530.95/10425902.21</f>
        <v>0.5857076756525611</v>
      </c>
      <c r="E23" s="83">
        <f>6271132/10157365</f>
        <v>0.61739752386568758</v>
      </c>
      <c r="F23" s="83">
        <f>5697681/10219500</f>
        <v>0.55753030970204021</v>
      </c>
      <c r="G23" s="83">
        <f>+(595760.53+6380645.41)/10491384.57</f>
        <v>0.66496522870288799</v>
      </c>
      <c r="H23" s="77">
        <f>+(537463+6623483)/11381828</f>
        <v>0.62915605472161418</v>
      </c>
      <c r="I23" s="77">
        <f t="shared" ref="I23:L23" si="7">+(6450412.4+490496.54)/(9246100.31+1228153.96-1335000)</f>
        <v>0.75946119179371518</v>
      </c>
      <c r="J23" s="77">
        <f t="shared" si="7"/>
        <v>0.75946119179371518</v>
      </c>
      <c r="K23" s="77">
        <f t="shared" si="7"/>
        <v>0.75946119179371518</v>
      </c>
      <c r="L23" s="77">
        <f t="shared" si="7"/>
        <v>0.75946119179371518</v>
      </c>
      <c r="M23" s="77">
        <f>(6869186.97+904341.01)/(10061336.31)</f>
        <v>0.77261386961827927</v>
      </c>
      <c r="N23" s="77">
        <f>(891169.51+6957094.91)/(9928311.62+74104.22)</f>
        <v>0.78463688628246431</v>
      </c>
      <c r="O23" s="77">
        <f>6863420.37/9856109.03</f>
        <v>0.69636205820259689</v>
      </c>
      <c r="P23" s="77">
        <f>(653968.77+5977512.99)/10486690.87</f>
        <v>0.63237124486725715</v>
      </c>
      <c r="Q23" s="77">
        <f>(646937.77+5757714.18)/10779133.88</f>
        <v>0.59417129625631837</v>
      </c>
      <c r="R23" s="77">
        <f>(646937.77+5601706.86)/11531372.62</f>
        <v>0.54188211897362148</v>
      </c>
      <c r="S23" s="77">
        <f>(5344019.31+646937.77)/11434975.63</f>
        <v>0.52391515940642186</v>
      </c>
      <c r="T23" s="77">
        <f>(5207530.98+646937.77)/11505778.74</f>
        <v>0.50882855322489884</v>
      </c>
      <c r="U23" s="77">
        <v>0.56179254375199517</v>
      </c>
    </row>
    <row r="24" spans="1:21" ht="22.2" x14ac:dyDescent="0.45">
      <c r="A24" s="84" t="s">
        <v>264</v>
      </c>
      <c r="B24" s="70" t="s">
        <v>255</v>
      </c>
      <c r="C24" s="70" t="s">
        <v>255</v>
      </c>
      <c r="D24" s="70" t="s">
        <v>255</v>
      </c>
      <c r="E24" s="70" t="s">
        <v>255</v>
      </c>
      <c r="F24" s="70" t="s">
        <v>255</v>
      </c>
      <c r="G24" s="70" t="s">
        <v>255</v>
      </c>
      <c r="H24" s="70" t="s">
        <v>255</v>
      </c>
      <c r="I24" s="70" t="s">
        <v>255</v>
      </c>
      <c r="J24" s="70" t="s">
        <v>255</v>
      </c>
      <c r="K24" s="70" t="s">
        <v>255</v>
      </c>
      <c r="L24" s="70" t="s">
        <v>255</v>
      </c>
      <c r="M24" s="70" t="s">
        <v>255</v>
      </c>
      <c r="N24" s="70" t="s">
        <v>255</v>
      </c>
      <c r="O24" s="70" t="s">
        <v>255</v>
      </c>
      <c r="P24" s="70" t="s">
        <v>255</v>
      </c>
      <c r="Q24" s="70" t="s">
        <v>255</v>
      </c>
      <c r="R24" s="70" t="s">
        <v>255</v>
      </c>
      <c r="S24" s="70" t="s">
        <v>255</v>
      </c>
      <c r="T24" s="70" t="s">
        <v>255</v>
      </c>
      <c r="U24" s="70" t="s">
        <v>255</v>
      </c>
    </row>
    <row r="25" spans="1:21" ht="16.2" customHeight="1" x14ac:dyDescent="0.35">
      <c r="A25" s="85" t="s">
        <v>265</v>
      </c>
      <c r="B25" s="86"/>
      <c r="C25" s="86"/>
      <c r="D25" s="86"/>
      <c r="E25" s="86"/>
      <c r="F25" s="86"/>
      <c r="G25" s="86"/>
      <c r="H25" s="86"/>
      <c r="I25" s="86"/>
      <c r="J25" s="86"/>
      <c r="K25" s="86"/>
      <c r="L25" s="86"/>
      <c r="M25" s="86"/>
      <c r="N25" s="86"/>
      <c r="O25" s="86"/>
      <c r="P25" s="86"/>
      <c r="Q25" s="86"/>
      <c r="R25" s="86"/>
      <c r="S25" s="86"/>
      <c r="T25" s="86"/>
      <c r="U25" s="73"/>
    </row>
    <row r="26" spans="1:21" ht="22.2" x14ac:dyDescent="0.45">
      <c r="A26" s="74" t="s">
        <v>266</v>
      </c>
      <c r="B26" s="87">
        <v>0.38</v>
      </c>
      <c r="C26" s="87">
        <v>0.44</v>
      </c>
      <c r="D26" s="87">
        <v>0.37</v>
      </c>
      <c r="E26" s="88">
        <v>0.15</v>
      </c>
      <c r="F26" s="88">
        <v>0.43</v>
      </c>
      <c r="G26" s="88">
        <v>0.45</v>
      </c>
      <c r="H26" s="88">
        <f>1-(2188545/3862537)</f>
        <v>0.43339183546979609</v>
      </c>
      <c r="I26" s="88">
        <f t="shared" ref="I26:K26" si="8">1-((436240.77-28869)/879265.48)</f>
        <v>0.53669081834078147</v>
      </c>
      <c r="J26" s="88">
        <f t="shared" si="8"/>
        <v>0.53669081834078147</v>
      </c>
      <c r="K26" s="88">
        <f t="shared" si="8"/>
        <v>0.53669081834078147</v>
      </c>
      <c r="L26" s="88">
        <f>1-((745406.4-42850-28869.44)/2109594.92)</f>
        <v>0.68065577253096521</v>
      </c>
      <c r="M26" s="88">
        <f>1-((395078.71-45250-49718.39)/(515291.31+122093.49))</f>
        <v>0.52915362901656904</v>
      </c>
      <c r="N26" s="88">
        <f>1-((534024.06-10000-7600-45250-116216.21)/(771095.63+242576.46))</f>
        <v>0.6498297097239798</v>
      </c>
      <c r="O26" s="88">
        <f>1-((972717.87-55250-208622.52-50985.27)/1695793.32)</f>
        <v>0.61206352670383213</v>
      </c>
      <c r="P26" s="88">
        <f>(4649819.97-2899039.06)/4649819.97</f>
        <v>0.37652660130839427</v>
      </c>
      <c r="Q26" s="88">
        <f>(1097896.25-748712.78)/1097896.25</f>
        <v>0.31804778456980792</v>
      </c>
      <c r="R26" s="88">
        <f>(2677473.85-2070780.59)/2677473.85</f>
        <v>0.22659166587191878</v>
      </c>
      <c r="S26" s="88">
        <f>(3166455.12-2372081.96)/3166455.12</f>
        <v>0.25087144137384776</v>
      </c>
      <c r="T26" s="88">
        <f>(4321187.41-3139420.53)/4321187.41</f>
        <v>0.27348197795475859</v>
      </c>
      <c r="U26" s="88">
        <v>0.52327911796746318</v>
      </c>
    </row>
    <row r="27" spans="1:21" ht="22.2" x14ac:dyDescent="0.45">
      <c r="A27" s="84" t="s">
        <v>267</v>
      </c>
      <c r="B27" s="70" t="s">
        <v>268</v>
      </c>
      <c r="C27" s="89">
        <v>0.6</v>
      </c>
      <c r="D27" s="89">
        <v>0.6</v>
      </c>
      <c r="E27" s="89">
        <v>0.6</v>
      </c>
      <c r="F27" s="89">
        <v>0.6</v>
      </c>
      <c r="G27" s="89">
        <v>0.6</v>
      </c>
      <c r="H27" s="89">
        <v>0.6</v>
      </c>
      <c r="I27" s="89">
        <v>0.6</v>
      </c>
      <c r="J27" s="89">
        <v>0.6</v>
      </c>
      <c r="K27" s="89">
        <v>0.6</v>
      </c>
      <c r="L27" s="89">
        <v>0.6</v>
      </c>
      <c r="M27" s="89">
        <v>0.6</v>
      </c>
      <c r="N27" s="89">
        <v>0.6</v>
      </c>
      <c r="O27" s="89">
        <v>0.6</v>
      </c>
      <c r="P27" s="89">
        <v>0.6</v>
      </c>
      <c r="Q27" s="89">
        <v>0.6</v>
      </c>
      <c r="R27" s="89">
        <v>0.6</v>
      </c>
      <c r="S27" s="89">
        <v>0.6</v>
      </c>
      <c r="T27" s="89">
        <v>0.6</v>
      </c>
      <c r="U27" s="89">
        <v>0.6</v>
      </c>
    </row>
    <row r="28" spans="1:21" ht="16.2" customHeight="1" x14ac:dyDescent="0.35">
      <c r="A28" s="90" t="s">
        <v>269</v>
      </c>
      <c r="B28" s="91"/>
      <c r="C28" s="91"/>
      <c r="D28" s="91"/>
      <c r="E28" s="91"/>
      <c r="F28" s="91"/>
      <c r="G28" s="91"/>
      <c r="H28" s="91"/>
      <c r="I28" s="91"/>
      <c r="J28" s="91"/>
      <c r="K28" s="91"/>
      <c r="L28" s="91"/>
      <c r="M28" s="91"/>
      <c r="N28" s="91"/>
      <c r="O28" s="91"/>
      <c r="P28" s="91"/>
      <c r="Q28" s="91"/>
      <c r="R28" s="91"/>
      <c r="S28" s="91"/>
      <c r="T28" s="91"/>
      <c r="U28" s="73"/>
    </row>
  </sheetData>
  <mergeCells count="3">
    <mergeCell ref="A22:T22"/>
    <mergeCell ref="A25:T25"/>
    <mergeCell ref="A28:T28"/>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5"/>
  <sheetViews>
    <sheetView workbookViewId="0"/>
  </sheetViews>
  <sheetFormatPr defaultColWidth="8.85546875" defaultRowHeight="12" x14ac:dyDescent="0.25"/>
  <cols>
    <col min="1" max="1" width="43.28515625" style="112" customWidth="1"/>
    <col min="2" max="2" width="23.5703125" style="113" customWidth="1"/>
    <col min="3" max="3" width="19.28515625" style="114" customWidth="1"/>
    <col min="4" max="4" width="9.28515625" style="6" customWidth="1"/>
    <col min="5" max="16384" width="8.85546875" style="6"/>
  </cols>
  <sheetData>
    <row r="1" spans="1:3" ht="14.4" x14ac:dyDescent="0.3">
      <c r="A1" s="126" t="s">
        <v>271</v>
      </c>
      <c r="B1" s="127"/>
      <c r="C1" s="111"/>
    </row>
    <row r="3" spans="1:3" ht="12.75" customHeight="1" x14ac:dyDescent="0.4">
      <c r="A3" s="115"/>
      <c r="B3" s="116" t="s">
        <v>174</v>
      </c>
      <c r="C3" s="117"/>
    </row>
    <row r="4" spans="1:3" x14ac:dyDescent="0.25">
      <c r="A4" s="115"/>
      <c r="B4" s="102"/>
      <c r="C4" s="115"/>
    </row>
    <row r="5" spans="1:3" ht="12.75" customHeight="1" x14ac:dyDescent="0.25">
      <c r="A5" s="115" t="s">
        <v>175</v>
      </c>
      <c r="B5" s="115"/>
      <c r="C5" s="102"/>
    </row>
    <row r="6" spans="1:3" ht="12.75" customHeight="1" x14ac:dyDescent="0.25">
      <c r="A6" s="115" t="s">
        <v>176</v>
      </c>
      <c r="B6" s="115"/>
      <c r="C6" s="102"/>
    </row>
    <row r="7" spans="1:3" ht="12.75" customHeight="1" x14ac:dyDescent="0.25">
      <c r="A7" s="115" t="s">
        <v>177</v>
      </c>
      <c r="B7" s="118">
        <v>2633806.61</v>
      </c>
      <c r="C7" s="102"/>
    </row>
    <row r="8" spans="1:3" ht="12.75" customHeight="1" x14ac:dyDescent="0.25">
      <c r="A8" s="115" t="s">
        <v>178</v>
      </c>
      <c r="B8" s="118">
        <v>982793</v>
      </c>
      <c r="C8" s="102"/>
    </row>
    <row r="9" spans="1:3" ht="12.75" customHeight="1" x14ac:dyDescent="0.25">
      <c r="A9" s="115" t="s">
        <v>179</v>
      </c>
      <c r="B9" s="118">
        <v>662295.61</v>
      </c>
      <c r="C9" s="102"/>
    </row>
    <row r="10" spans="1:3" ht="12.75" customHeight="1" x14ac:dyDescent="0.4">
      <c r="A10" s="115" t="s">
        <v>180</v>
      </c>
      <c r="B10" s="119">
        <v>62702.71</v>
      </c>
      <c r="C10" s="117"/>
    </row>
    <row r="11" spans="1:3" ht="12.75" customHeight="1" x14ac:dyDescent="0.25">
      <c r="A11" s="115" t="s">
        <v>181</v>
      </c>
      <c r="B11" s="120">
        <v>4341597.93</v>
      </c>
      <c r="C11" s="102"/>
    </row>
    <row r="12" spans="1:3" ht="12.75" customHeight="1" x14ac:dyDescent="0.25">
      <c r="A12" s="115" t="s">
        <v>182</v>
      </c>
      <c r="B12" s="115"/>
      <c r="C12" s="102"/>
    </row>
    <row r="13" spans="1:3" ht="12.75" customHeight="1" x14ac:dyDescent="0.25">
      <c r="A13" s="115" t="s">
        <v>183</v>
      </c>
      <c r="B13" s="118">
        <v>670259.18999999994</v>
      </c>
      <c r="C13" s="102"/>
    </row>
    <row r="14" spans="1:3" ht="12.75" customHeight="1" x14ac:dyDescent="0.25">
      <c r="A14" s="115" t="s">
        <v>184</v>
      </c>
      <c r="B14" s="118">
        <v>17229.580000000002</v>
      </c>
      <c r="C14" s="102"/>
    </row>
    <row r="15" spans="1:3" ht="12.75" customHeight="1" x14ac:dyDescent="0.4">
      <c r="A15" s="115" t="s">
        <v>185</v>
      </c>
      <c r="B15" s="119">
        <v>20876.939999999999</v>
      </c>
      <c r="C15" s="117"/>
    </row>
    <row r="16" spans="1:3" ht="12.75" customHeight="1" x14ac:dyDescent="0.25">
      <c r="A16" s="115" t="s">
        <v>186</v>
      </c>
      <c r="B16" s="120">
        <v>708365.71</v>
      </c>
      <c r="C16" s="102"/>
    </row>
    <row r="17" spans="1:3" ht="12.75" customHeight="1" x14ac:dyDescent="0.25">
      <c r="A17" s="115" t="s">
        <v>187</v>
      </c>
      <c r="B17" s="115"/>
      <c r="C17" s="102"/>
    </row>
    <row r="18" spans="1:3" ht="12.75" customHeight="1" x14ac:dyDescent="0.4">
      <c r="A18" s="115" t="s">
        <v>188</v>
      </c>
      <c r="B18" s="119">
        <v>23648</v>
      </c>
      <c r="C18" s="117"/>
    </row>
    <row r="19" spans="1:3" ht="12.75" customHeight="1" x14ac:dyDescent="0.25">
      <c r="A19" s="115" t="s">
        <v>189</v>
      </c>
      <c r="B19" s="118">
        <v>23648</v>
      </c>
      <c r="C19" s="102"/>
    </row>
    <row r="20" spans="1:3" ht="12.75" customHeight="1" x14ac:dyDescent="0.25">
      <c r="A20" s="115" t="s">
        <v>190</v>
      </c>
      <c r="B20" s="115"/>
      <c r="C20" s="102"/>
    </row>
    <row r="21" spans="1:3" ht="12.75" customHeight="1" x14ac:dyDescent="0.25">
      <c r="A21" s="115" t="s">
        <v>191</v>
      </c>
      <c r="B21" s="118">
        <v>690939.7</v>
      </c>
      <c r="C21" s="102"/>
    </row>
    <row r="22" spans="1:3" ht="12.75" customHeight="1" x14ac:dyDescent="0.25">
      <c r="A22" s="115" t="s">
        <v>192</v>
      </c>
      <c r="B22" s="118">
        <v>55895.11</v>
      </c>
      <c r="C22" s="102"/>
    </row>
    <row r="23" spans="1:3" ht="12.75" customHeight="1" x14ac:dyDescent="0.25">
      <c r="A23" s="115" t="s">
        <v>193</v>
      </c>
      <c r="B23" s="118">
        <v>132702.9</v>
      </c>
      <c r="C23" s="102"/>
    </row>
    <row r="24" spans="1:3" ht="12.75" customHeight="1" x14ac:dyDescent="0.25">
      <c r="A24" s="115" t="s">
        <v>194</v>
      </c>
      <c r="B24" s="118">
        <v>12671791.41</v>
      </c>
      <c r="C24" s="102"/>
    </row>
    <row r="25" spans="1:3" ht="12.75" customHeight="1" x14ac:dyDescent="0.4">
      <c r="A25" s="115" t="s">
        <v>195</v>
      </c>
      <c r="B25" s="121">
        <v>-862100</v>
      </c>
      <c r="C25" s="117"/>
    </row>
    <row r="26" spans="1:3" ht="12.75" customHeight="1" x14ac:dyDescent="0.4">
      <c r="A26" s="115" t="s">
        <v>196</v>
      </c>
      <c r="B26" s="119">
        <v>12689229.119999999</v>
      </c>
      <c r="C26" s="117"/>
    </row>
    <row r="27" spans="1:3" ht="16.8" customHeight="1" x14ac:dyDescent="0.4">
      <c r="A27" s="122" t="s">
        <v>197</v>
      </c>
      <c r="B27" s="123">
        <v>17762840.760000002</v>
      </c>
      <c r="C27" s="124"/>
    </row>
    <row r="28" spans="1:3" x14ac:dyDescent="0.25">
      <c r="A28" s="115"/>
      <c r="B28" s="115"/>
      <c r="C28" s="102"/>
    </row>
    <row r="29" spans="1:3" ht="12.75" customHeight="1" x14ac:dyDescent="0.25">
      <c r="A29" s="115" t="s">
        <v>198</v>
      </c>
      <c r="B29" s="115"/>
      <c r="C29" s="102"/>
    </row>
    <row r="30" spans="1:3" ht="12.75" customHeight="1" x14ac:dyDescent="0.25">
      <c r="A30" s="115" t="s">
        <v>199</v>
      </c>
      <c r="B30" s="115"/>
      <c r="C30" s="102"/>
    </row>
    <row r="31" spans="1:3" ht="12.75" customHeight="1" x14ac:dyDescent="0.25">
      <c r="A31" s="115" t="s">
        <v>200</v>
      </c>
      <c r="B31" s="118">
        <v>16437.599999999999</v>
      </c>
      <c r="C31" s="102"/>
    </row>
    <row r="32" spans="1:3" ht="12.75" customHeight="1" x14ac:dyDescent="0.25">
      <c r="A32" s="115" t="s">
        <v>201</v>
      </c>
      <c r="B32" s="118">
        <v>79131.88</v>
      </c>
      <c r="C32" s="102"/>
    </row>
    <row r="33" spans="1:3" ht="12.75" customHeight="1" x14ac:dyDescent="0.25">
      <c r="A33" s="115" t="s">
        <v>202</v>
      </c>
      <c r="B33" s="118">
        <v>156861.85999999999</v>
      </c>
      <c r="C33" s="102"/>
    </row>
    <row r="34" spans="1:3" ht="12.75" customHeight="1" x14ac:dyDescent="0.4">
      <c r="A34" s="115" t="s">
        <v>203</v>
      </c>
      <c r="B34" s="119">
        <v>735600.26</v>
      </c>
      <c r="C34" s="117"/>
    </row>
    <row r="35" spans="1:3" ht="12.75" customHeight="1" x14ac:dyDescent="0.25">
      <c r="A35" s="115" t="s">
        <v>204</v>
      </c>
      <c r="B35" s="120">
        <v>988031.6</v>
      </c>
      <c r="C35" s="102"/>
    </row>
    <row r="36" spans="1:3" ht="12.75" customHeight="1" x14ac:dyDescent="0.25">
      <c r="A36" s="115" t="s">
        <v>205</v>
      </c>
      <c r="B36" s="115"/>
      <c r="C36" s="102"/>
    </row>
    <row r="37" spans="1:3" ht="12.75" customHeight="1" x14ac:dyDescent="0.25">
      <c r="A37" s="115" t="s">
        <v>206</v>
      </c>
      <c r="B37" s="118">
        <v>8494.3700000000008</v>
      </c>
      <c r="C37" s="102"/>
    </row>
    <row r="38" spans="1:3" ht="12.75" customHeight="1" x14ac:dyDescent="0.25">
      <c r="A38" s="115" t="s">
        <v>207</v>
      </c>
      <c r="B38" s="118">
        <v>5567453.6500000004</v>
      </c>
      <c r="C38" s="102"/>
    </row>
    <row r="39" spans="1:3" ht="12.75" customHeight="1" x14ac:dyDescent="0.4">
      <c r="A39" s="115" t="s">
        <v>208</v>
      </c>
      <c r="B39" s="121">
        <v>-12877.25</v>
      </c>
      <c r="C39" s="117"/>
    </row>
    <row r="40" spans="1:3" ht="12.75" customHeight="1" x14ac:dyDescent="0.25">
      <c r="A40" s="115" t="s">
        <v>209</v>
      </c>
      <c r="B40" s="120">
        <v>5563070.7699999996</v>
      </c>
      <c r="C40" s="102"/>
    </row>
    <row r="41" spans="1:3" ht="12.75" customHeight="1" x14ac:dyDescent="0.25">
      <c r="A41" s="115" t="s">
        <v>210</v>
      </c>
      <c r="B41" s="115"/>
      <c r="C41" s="102"/>
    </row>
    <row r="42" spans="1:3" ht="12.75" customHeight="1" x14ac:dyDescent="0.25">
      <c r="A42" s="115" t="s">
        <v>211</v>
      </c>
      <c r="B42" s="118">
        <v>11411468.550000001</v>
      </c>
      <c r="C42" s="102"/>
    </row>
    <row r="43" spans="1:3" ht="12.75" customHeight="1" x14ac:dyDescent="0.4">
      <c r="A43" s="115" t="s">
        <v>212</v>
      </c>
      <c r="B43" s="121">
        <v>-199730.16</v>
      </c>
      <c r="C43" s="117"/>
    </row>
    <row r="44" spans="1:3" ht="12.75" customHeight="1" x14ac:dyDescent="0.4">
      <c r="A44" s="115" t="s">
        <v>213</v>
      </c>
      <c r="B44" s="119">
        <v>11211738.390000001</v>
      </c>
      <c r="C44" s="117"/>
    </row>
    <row r="45" spans="1:3" ht="13.8" x14ac:dyDescent="0.4">
      <c r="A45" s="122" t="s">
        <v>214</v>
      </c>
      <c r="B45" s="125">
        <v>17762840.760000002</v>
      </c>
      <c r="C45" s="117"/>
    </row>
  </sheetData>
  <pageMargins left="0.75" right="0.75" top="1" bottom="1" header="0.5" footer="0.5"/>
  <headerFooter alignWithMargins="0">
    <oddHeader>&amp;"B"&amp;8&amp;"Tahoma"NeighborWorks of Western Vermont&amp;"B"
&amp;8&amp;"Tahoma"Balance Sheet
&amp;8&amp;"Tahoma"As of 1/31/2022</oddHeader>
    <oddFooter>&amp;R&amp;6&amp;"Tahoma"Page:  &amp;P</oddFooter>
  </headerFooter>
  <rowBreaks count="1" manualBreakCount="1">
    <brk id="4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5"/>
  <sheetViews>
    <sheetView workbookViewId="0">
      <selection activeCell="C6" sqref="C6"/>
    </sheetView>
  </sheetViews>
  <sheetFormatPr defaultColWidth="8.85546875" defaultRowHeight="12" x14ac:dyDescent="0.25"/>
  <cols>
    <col min="1" max="1" width="43.28515625" style="143" customWidth="1"/>
    <col min="2" max="2" width="19.28515625" style="113" customWidth="1"/>
    <col min="3" max="3" width="19.28515625" style="144" customWidth="1"/>
    <col min="4" max="4" width="19.28515625" style="113" customWidth="1"/>
    <col min="5" max="5" width="19.28515625" style="144" customWidth="1"/>
    <col min="6" max="6" width="19.28515625" style="113" customWidth="1"/>
    <col min="7" max="7" width="9.28515625" style="7" customWidth="1"/>
    <col min="8" max="8" width="9.28515625" style="6" customWidth="1"/>
    <col min="9" max="9" width="9.28515625" style="7" customWidth="1"/>
    <col min="10" max="10" width="9.28515625" style="6" customWidth="1"/>
    <col min="11" max="16384" width="8.85546875" style="6"/>
  </cols>
  <sheetData>
    <row r="1" spans="1:9" ht="14.4" x14ac:dyDescent="0.3">
      <c r="A1" s="126" t="s">
        <v>272</v>
      </c>
      <c r="B1" s="145"/>
      <c r="C1" s="146"/>
      <c r="D1" s="145"/>
      <c r="E1" s="146"/>
    </row>
    <row r="3" spans="1:9" ht="12.75" customHeight="1" x14ac:dyDescent="0.4">
      <c r="A3" s="102"/>
      <c r="B3" s="117" t="s">
        <v>215</v>
      </c>
      <c r="C3" s="117" t="s">
        <v>216</v>
      </c>
      <c r="D3" s="117" t="s">
        <v>217</v>
      </c>
      <c r="E3" s="117" t="s">
        <v>218</v>
      </c>
      <c r="F3" s="117"/>
      <c r="G3"/>
      <c r="H3"/>
      <c r="I3"/>
    </row>
    <row r="4" spans="1:9" x14ac:dyDescent="0.25">
      <c r="A4" s="102"/>
      <c r="B4" s="102"/>
      <c r="C4" s="102"/>
      <c r="D4" s="102"/>
      <c r="E4" s="102"/>
      <c r="F4" s="102"/>
      <c r="G4"/>
      <c r="H4"/>
      <c r="I4"/>
    </row>
    <row r="5" spans="1:9" ht="12.75" customHeight="1" x14ac:dyDescent="0.25">
      <c r="A5" s="102" t="s">
        <v>59</v>
      </c>
      <c r="B5" s="102"/>
      <c r="C5" s="102"/>
      <c r="D5" s="102"/>
      <c r="E5" s="102"/>
      <c r="F5" s="102"/>
      <c r="G5"/>
      <c r="H5"/>
      <c r="I5"/>
    </row>
    <row r="6" spans="1:9" ht="12.75" customHeight="1" x14ac:dyDescent="0.25">
      <c r="A6" s="102" t="s">
        <v>168</v>
      </c>
      <c r="B6" s="102"/>
      <c r="C6" s="102"/>
      <c r="D6" s="102"/>
      <c r="E6" s="102"/>
      <c r="F6" s="102"/>
      <c r="G6"/>
      <c r="H6"/>
      <c r="I6"/>
    </row>
    <row r="7" spans="1:9" ht="12.75" customHeight="1" x14ac:dyDescent="0.25">
      <c r="A7" s="102" t="s">
        <v>61</v>
      </c>
      <c r="B7" s="128">
        <v>63486</v>
      </c>
      <c r="C7" s="128">
        <v>99663</v>
      </c>
      <c r="D7" s="129">
        <v>-36177</v>
      </c>
      <c r="E7" s="130">
        <v>-36.299999999999997</v>
      </c>
      <c r="F7" s="102"/>
      <c r="G7"/>
      <c r="H7"/>
      <c r="I7"/>
    </row>
    <row r="8" spans="1:9" ht="12.75" customHeight="1" x14ac:dyDescent="0.25">
      <c r="A8" s="102" t="s">
        <v>63</v>
      </c>
      <c r="B8" s="128">
        <v>12584</v>
      </c>
      <c r="C8" s="102">
        <v>0</v>
      </c>
      <c r="D8" s="128">
        <v>12584</v>
      </c>
      <c r="E8" s="102">
        <v>100</v>
      </c>
      <c r="F8" s="102"/>
      <c r="G8"/>
      <c r="H8"/>
      <c r="I8"/>
    </row>
    <row r="9" spans="1:9" ht="12.75" customHeight="1" x14ac:dyDescent="0.25">
      <c r="A9" s="102" t="s">
        <v>65</v>
      </c>
      <c r="B9" s="128">
        <v>4960.3500000000004</v>
      </c>
      <c r="C9" s="128">
        <v>1039.6400000000001</v>
      </c>
      <c r="D9" s="128">
        <v>3920.71</v>
      </c>
      <c r="E9" s="102">
        <v>377.12</v>
      </c>
      <c r="F9" s="102"/>
      <c r="G9"/>
      <c r="H9"/>
      <c r="I9"/>
    </row>
    <row r="10" spans="1:9" ht="12.75" customHeight="1" x14ac:dyDescent="0.25">
      <c r="A10" s="102" t="s">
        <v>67</v>
      </c>
      <c r="B10" s="102">
        <v>0</v>
      </c>
      <c r="C10" s="128">
        <v>177527</v>
      </c>
      <c r="D10" s="129">
        <v>-177527</v>
      </c>
      <c r="E10" s="130">
        <v>-100</v>
      </c>
      <c r="F10" s="102"/>
      <c r="G10"/>
      <c r="H10"/>
      <c r="I10"/>
    </row>
    <row r="11" spans="1:9" ht="12.75" customHeight="1" x14ac:dyDescent="0.25">
      <c r="A11" s="102" t="s">
        <v>69</v>
      </c>
      <c r="B11" s="128">
        <v>90728</v>
      </c>
      <c r="C11" s="128">
        <v>102350</v>
      </c>
      <c r="D11" s="129">
        <v>-11622</v>
      </c>
      <c r="E11" s="130">
        <v>-11.36</v>
      </c>
      <c r="F11" s="102"/>
      <c r="G11"/>
      <c r="H11"/>
      <c r="I11"/>
    </row>
    <row r="12" spans="1:9" ht="12.75" customHeight="1" x14ac:dyDescent="0.25">
      <c r="A12" s="102" t="s">
        <v>219</v>
      </c>
      <c r="B12" s="102">
        <v>0</v>
      </c>
      <c r="C12" s="128">
        <v>125000</v>
      </c>
      <c r="D12" s="129">
        <v>-125000</v>
      </c>
      <c r="E12" s="130">
        <v>-100</v>
      </c>
      <c r="F12" s="102"/>
      <c r="G12"/>
      <c r="H12"/>
      <c r="I12"/>
    </row>
    <row r="13" spans="1:9" ht="12.75" customHeight="1" x14ac:dyDescent="0.25">
      <c r="A13" s="102" t="s">
        <v>220</v>
      </c>
      <c r="B13" s="102">
        <v>0</v>
      </c>
      <c r="C13" s="128">
        <v>9500</v>
      </c>
      <c r="D13" s="129">
        <v>-9500</v>
      </c>
      <c r="E13" s="130">
        <v>-100</v>
      </c>
      <c r="F13" s="102"/>
      <c r="G13"/>
      <c r="H13"/>
      <c r="I13"/>
    </row>
    <row r="14" spans="1:9" ht="12.75" customHeight="1" x14ac:dyDescent="0.4">
      <c r="A14" s="102" t="s">
        <v>74</v>
      </c>
      <c r="B14" s="102">
        <v>0</v>
      </c>
      <c r="C14" s="128">
        <v>180000</v>
      </c>
      <c r="D14" s="129">
        <v>-180000</v>
      </c>
      <c r="E14" s="130">
        <v>-100</v>
      </c>
      <c r="F14" s="117"/>
      <c r="G14"/>
      <c r="H14"/>
      <c r="I14"/>
    </row>
    <row r="15" spans="1:9" ht="12.75" customHeight="1" x14ac:dyDescent="0.25">
      <c r="A15" s="102" t="s">
        <v>221</v>
      </c>
      <c r="B15" s="102">
        <v>0</v>
      </c>
      <c r="C15" s="128">
        <v>5475</v>
      </c>
      <c r="D15" s="129">
        <v>-5475</v>
      </c>
      <c r="E15" s="130">
        <v>-100</v>
      </c>
      <c r="F15" s="102"/>
      <c r="G15"/>
      <c r="H15"/>
      <c r="I15"/>
    </row>
    <row r="16" spans="1:9" ht="12.75" customHeight="1" x14ac:dyDescent="0.25">
      <c r="A16" s="102" t="s">
        <v>80</v>
      </c>
      <c r="B16" s="128">
        <v>36320</v>
      </c>
      <c r="C16" s="102">
        <v>0</v>
      </c>
      <c r="D16" s="128">
        <v>36320</v>
      </c>
      <c r="E16" s="102">
        <v>100</v>
      </c>
      <c r="F16" s="102"/>
      <c r="G16"/>
      <c r="H16"/>
      <c r="I16"/>
    </row>
    <row r="17" spans="1:9" ht="12.75" customHeight="1" x14ac:dyDescent="0.25">
      <c r="A17" s="102" t="s">
        <v>82</v>
      </c>
      <c r="B17" s="128">
        <v>48003.15</v>
      </c>
      <c r="C17" s="128">
        <v>43888.06</v>
      </c>
      <c r="D17" s="128">
        <v>4115.09</v>
      </c>
      <c r="E17" s="102">
        <v>9.3800000000000008</v>
      </c>
      <c r="F17" s="102"/>
      <c r="G17"/>
      <c r="H17"/>
      <c r="I17"/>
    </row>
    <row r="18" spans="1:9" ht="12.75" customHeight="1" x14ac:dyDescent="0.4">
      <c r="A18" s="102" t="s">
        <v>84</v>
      </c>
      <c r="B18" s="131">
        <v>2558.9</v>
      </c>
      <c r="C18" s="131">
        <v>4270.08</v>
      </c>
      <c r="D18" s="132">
        <v>-1711.18</v>
      </c>
      <c r="E18" s="133">
        <v>-40.07</v>
      </c>
      <c r="F18" s="102"/>
      <c r="G18"/>
      <c r="H18"/>
      <c r="I18"/>
    </row>
    <row r="19" spans="1:9" ht="12.75" customHeight="1" x14ac:dyDescent="0.25">
      <c r="A19" s="102" t="s">
        <v>87</v>
      </c>
      <c r="B19" s="128">
        <v>258640.4</v>
      </c>
      <c r="C19" s="128">
        <v>748712.78</v>
      </c>
      <c r="D19" s="129">
        <v>-490072.38</v>
      </c>
      <c r="E19" s="130">
        <v>-65.459999999999994</v>
      </c>
      <c r="F19" s="102"/>
      <c r="G19"/>
      <c r="H19"/>
      <c r="I19"/>
    </row>
    <row r="20" spans="1:9" ht="12.75" customHeight="1" x14ac:dyDescent="0.25">
      <c r="A20" s="102" t="s">
        <v>88</v>
      </c>
      <c r="B20" s="128">
        <v>15710.65</v>
      </c>
      <c r="C20" s="128">
        <v>1110.43</v>
      </c>
      <c r="D20" s="128">
        <v>14600.22</v>
      </c>
      <c r="E20" s="128">
        <v>1314.83</v>
      </c>
      <c r="F20" s="102"/>
      <c r="G20"/>
      <c r="H20"/>
      <c r="I20"/>
    </row>
    <row r="21" spans="1:9" ht="12.75" customHeight="1" x14ac:dyDescent="0.25">
      <c r="A21" s="102" t="s">
        <v>89</v>
      </c>
      <c r="B21" s="128">
        <v>40015.65</v>
      </c>
      <c r="C21" s="128">
        <v>40491.620000000003</v>
      </c>
      <c r="D21" s="130">
        <v>-475.97</v>
      </c>
      <c r="E21" s="130">
        <v>-1.18</v>
      </c>
      <c r="F21" s="102"/>
      <c r="G21"/>
      <c r="H21"/>
      <c r="I21"/>
    </row>
    <row r="22" spans="1:9" ht="12.75" customHeight="1" x14ac:dyDescent="0.25">
      <c r="A22" s="102" t="s">
        <v>93</v>
      </c>
      <c r="B22" s="128">
        <v>28534.28</v>
      </c>
      <c r="C22" s="128">
        <v>34191.279999999999</v>
      </c>
      <c r="D22" s="129">
        <v>-5657</v>
      </c>
      <c r="E22" s="130">
        <v>-16.55</v>
      </c>
      <c r="F22" s="102"/>
      <c r="G22"/>
      <c r="H22"/>
      <c r="I22"/>
    </row>
    <row r="23" spans="1:9" ht="12.75" customHeight="1" x14ac:dyDescent="0.4">
      <c r="A23" s="102" t="s">
        <v>99</v>
      </c>
      <c r="B23" s="128">
        <v>4699</v>
      </c>
      <c r="C23" s="128">
        <v>5309</v>
      </c>
      <c r="D23" s="130">
        <v>-610</v>
      </c>
      <c r="E23" s="130">
        <v>-11.49</v>
      </c>
      <c r="F23" s="117"/>
      <c r="G23"/>
      <c r="H23"/>
      <c r="I23"/>
    </row>
    <row r="24" spans="1:9" ht="12.75" customHeight="1" x14ac:dyDescent="0.25">
      <c r="A24" s="102" t="s">
        <v>101</v>
      </c>
      <c r="B24" s="128">
        <v>18818</v>
      </c>
      <c r="C24" s="128">
        <v>24975</v>
      </c>
      <c r="D24" s="129">
        <v>-6157</v>
      </c>
      <c r="E24" s="130">
        <v>-24.65</v>
      </c>
      <c r="F24" s="102"/>
      <c r="G24"/>
      <c r="H24"/>
      <c r="I24"/>
    </row>
    <row r="25" spans="1:9" ht="12.75" customHeight="1" x14ac:dyDescent="0.25">
      <c r="A25" s="102" t="s">
        <v>103</v>
      </c>
      <c r="B25" s="102"/>
      <c r="C25" s="102"/>
      <c r="D25" s="102"/>
      <c r="E25" s="102"/>
      <c r="F25" s="102"/>
      <c r="G25"/>
      <c r="H25"/>
      <c r="I25"/>
    </row>
    <row r="26" spans="1:9" ht="12.75" customHeight="1" x14ac:dyDescent="0.25">
      <c r="A26" s="102" t="s">
        <v>222</v>
      </c>
      <c r="B26" s="128">
        <v>1462.25</v>
      </c>
      <c r="C26" s="128">
        <v>2802.62</v>
      </c>
      <c r="D26" s="129">
        <v>-1340.37</v>
      </c>
      <c r="E26" s="130">
        <v>-47.83</v>
      </c>
      <c r="F26" s="102"/>
      <c r="G26"/>
      <c r="H26"/>
      <c r="I26"/>
    </row>
    <row r="27" spans="1:9" ht="12.75" customHeight="1" x14ac:dyDescent="0.4">
      <c r="A27" s="102" t="s">
        <v>223</v>
      </c>
      <c r="B27" s="117">
        <v>75</v>
      </c>
      <c r="C27" s="117">
        <v>75</v>
      </c>
      <c r="D27" s="117">
        <v>0</v>
      </c>
      <c r="E27" s="117">
        <v>0</v>
      </c>
      <c r="F27" s="117"/>
      <c r="G27"/>
      <c r="H27"/>
      <c r="I27"/>
    </row>
    <row r="28" spans="1:9" ht="12.75" customHeight="1" x14ac:dyDescent="0.4">
      <c r="A28" s="102" t="s">
        <v>224</v>
      </c>
      <c r="B28" s="128">
        <v>1537.25</v>
      </c>
      <c r="C28" s="128">
        <v>2877.62</v>
      </c>
      <c r="D28" s="129">
        <v>-1340.37</v>
      </c>
      <c r="E28" s="130">
        <v>-46.58</v>
      </c>
      <c r="F28" s="117"/>
      <c r="G28"/>
      <c r="H28"/>
      <c r="I28"/>
    </row>
    <row r="29" spans="1:9" x14ac:dyDescent="0.25">
      <c r="A29" s="102" t="s">
        <v>104</v>
      </c>
      <c r="B29" s="128">
        <v>160353.29999999999</v>
      </c>
      <c r="C29" s="128">
        <v>173617.42</v>
      </c>
      <c r="D29" s="129">
        <v>-13264.12</v>
      </c>
      <c r="E29" s="130">
        <v>-7.64</v>
      </c>
      <c r="F29" s="102"/>
      <c r="G29"/>
      <c r="H29"/>
      <c r="I29"/>
    </row>
    <row r="30" spans="1:9" ht="12.75" customHeight="1" x14ac:dyDescent="0.25">
      <c r="A30" s="102" t="s">
        <v>106</v>
      </c>
      <c r="B30" s="128">
        <v>14037</v>
      </c>
      <c r="C30" s="128">
        <v>13422</v>
      </c>
      <c r="D30" s="102">
        <v>615</v>
      </c>
      <c r="E30" s="102">
        <v>4.58</v>
      </c>
      <c r="F30" s="102"/>
      <c r="G30"/>
      <c r="H30"/>
      <c r="I30"/>
    </row>
    <row r="31" spans="1:9" ht="12.75" customHeight="1" x14ac:dyDescent="0.4">
      <c r="A31" s="102" t="s">
        <v>225</v>
      </c>
      <c r="B31" s="117">
        <v>195</v>
      </c>
      <c r="C31" s="131">
        <v>53875.360000000001</v>
      </c>
      <c r="D31" s="132">
        <v>-53680.36</v>
      </c>
      <c r="E31" s="133">
        <v>-99.64</v>
      </c>
      <c r="F31" s="102"/>
      <c r="G31"/>
      <c r="H31"/>
      <c r="I31"/>
    </row>
    <row r="32" spans="1:9" s="36" customFormat="1" ht="12.75" customHeight="1" x14ac:dyDescent="0.4">
      <c r="A32" s="134" t="s">
        <v>107</v>
      </c>
      <c r="B32" s="135">
        <v>542540.53</v>
      </c>
      <c r="C32" s="135">
        <v>1098582.51</v>
      </c>
      <c r="D32" s="136">
        <v>-556041.98</v>
      </c>
      <c r="E32" s="137">
        <v>-50.61</v>
      </c>
      <c r="F32" s="134"/>
      <c r="G32" s="47"/>
      <c r="H32" s="47"/>
      <c r="I32" s="47"/>
    </row>
    <row r="33" spans="1:9" ht="12.75" customHeight="1" x14ac:dyDescent="0.25">
      <c r="A33" s="102"/>
      <c r="B33" s="102"/>
      <c r="C33" s="102"/>
      <c r="D33" s="102"/>
      <c r="E33" s="102"/>
      <c r="F33" s="102"/>
      <c r="G33"/>
      <c r="H33"/>
      <c r="I33"/>
    </row>
    <row r="34" spans="1:9" ht="12.75" customHeight="1" x14ac:dyDescent="0.25">
      <c r="A34" s="102" t="s">
        <v>108</v>
      </c>
      <c r="B34" s="102"/>
      <c r="C34" s="102"/>
      <c r="D34" s="102"/>
      <c r="E34" s="102"/>
      <c r="F34" s="102"/>
      <c r="G34"/>
      <c r="H34"/>
      <c r="I34"/>
    </row>
    <row r="35" spans="1:9" ht="12.75" customHeight="1" x14ac:dyDescent="0.25">
      <c r="A35" s="102" t="s">
        <v>109</v>
      </c>
      <c r="B35" s="128">
        <v>343174.45</v>
      </c>
      <c r="C35" s="128">
        <v>411361.42</v>
      </c>
      <c r="D35" s="129">
        <v>-68186.97</v>
      </c>
      <c r="E35" s="130">
        <v>-16.579999999999998</v>
      </c>
      <c r="F35" s="102"/>
      <c r="G35"/>
      <c r="H35"/>
      <c r="I35"/>
    </row>
    <row r="36" spans="1:9" ht="12.75" customHeight="1" x14ac:dyDescent="0.25">
      <c r="A36" s="102" t="s">
        <v>226</v>
      </c>
      <c r="B36" s="128">
        <v>16255</v>
      </c>
      <c r="C36" s="102">
        <v>210</v>
      </c>
      <c r="D36" s="128">
        <v>16045</v>
      </c>
      <c r="E36" s="128">
        <v>7640.48</v>
      </c>
      <c r="F36" s="102"/>
      <c r="G36"/>
      <c r="H36"/>
      <c r="I36"/>
    </row>
    <row r="37" spans="1:9" ht="12.75" customHeight="1" x14ac:dyDescent="0.25">
      <c r="A37" s="102" t="s">
        <v>110</v>
      </c>
      <c r="B37" s="102"/>
      <c r="C37" s="102"/>
      <c r="D37" s="102"/>
      <c r="E37" s="102"/>
      <c r="F37" s="102"/>
      <c r="G37"/>
      <c r="H37"/>
      <c r="I37"/>
    </row>
    <row r="38" spans="1:9" ht="12.75" customHeight="1" x14ac:dyDescent="0.25">
      <c r="A38" s="102" t="s">
        <v>227</v>
      </c>
      <c r="B38" s="128">
        <v>19712</v>
      </c>
      <c r="C38" s="128">
        <v>21128</v>
      </c>
      <c r="D38" s="129">
        <v>-1416</v>
      </c>
      <c r="E38" s="130">
        <v>-6.7</v>
      </c>
      <c r="F38" s="102"/>
      <c r="G38"/>
      <c r="H38"/>
      <c r="I38"/>
    </row>
    <row r="39" spans="1:9" ht="12.75" customHeight="1" x14ac:dyDescent="0.25">
      <c r="A39" s="102" t="s">
        <v>111</v>
      </c>
      <c r="B39" s="128">
        <v>2979.77</v>
      </c>
      <c r="C39" s="128">
        <v>3101.73</v>
      </c>
      <c r="D39" s="130">
        <v>-121.96</v>
      </c>
      <c r="E39" s="130">
        <v>-3.93</v>
      </c>
      <c r="F39" s="102"/>
      <c r="G39"/>
      <c r="H39"/>
      <c r="I39"/>
    </row>
    <row r="40" spans="1:9" ht="12.75" customHeight="1" x14ac:dyDescent="0.4">
      <c r="A40" s="102" t="s">
        <v>112</v>
      </c>
      <c r="B40" s="102">
        <v>345</v>
      </c>
      <c r="C40" s="128">
        <v>1033</v>
      </c>
      <c r="D40" s="130">
        <v>-688</v>
      </c>
      <c r="E40" s="130">
        <v>-66.599999999999994</v>
      </c>
      <c r="F40" s="117"/>
      <c r="G40"/>
      <c r="H40"/>
      <c r="I40"/>
    </row>
    <row r="41" spans="1:9" ht="12.75" customHeight="1" x14ac:dyDescent="0.25">
      <c r="A41" s="102" t="s">
        <v>113</v>
      </c>
      <c r="B41" s="102">
        <v>300</v>
      </c>
      <c r="C41" s="102">
        <v>825</v>
      </c>
      <c r="D41" s="130">
        <v>-525</v>
      </c>
      <c r="E41" s="130">
        <v>-63.64</v>
      </c>
      <c r="F41" s="102"/>
      <c r="G41"/>
      <c r="H41"/>
      <c r="I41"/>
    </row>
    <row r="42" spans="1:9" ht="12.75" customHeight="1" x14ac:dyDescent="0.25">
      <c r="A42" s="102" t="s">
        <v>228</v>
      </c>
      <c r="B42" s="128">
        <v>15876.81</v>
      </c>
      <c r="C42" s="128">
        <v>127768.43</v>
      </c>
      <c r="D42" s="129">
        <v>-111891.62</v>
      </c>
      <c r="E42" s="130">
        <v>-87.57</v>
      </c>
      <c r="F42" s="102"/>
      <c r="G42"/>
      <c r="H42"/>
      <c r="I42"/>
    </row>
    <row r="43" spans="1:9" ht="12.75" customHeight="1" x14ac:dyDescent="0.25">
      <c r="A43" s="102" t="s">
        <v>115</v>
      </c>
      <c r="B43" s="128">
        <v>8012.78</v>
      </c>
      <c r="C43" s="128">
        <v>11546.83</v>
      </c>
      <c r="D43" s="129">
        <v>-3534.05</v>
      </c>
      <c r="E43" s="130">
        <v>-30.61</v>
      </c>
      <c r="F43" s="102"/>
      <c r="G43"/>
      <c r="H43"/>
      <c r="I43"/>
    </row>
    <row r="44" spans="1:9" ht="12.75" customHeight="1" x14ac:dyDescent="0.4">
      <c r="A44" s="102" t="s">
        <v>116</v>
      </c>
      <c r="B44" s="117">
        <v>960</v>
      </c>
      <c r="C44" s="117">
        <v>960</v>
      </c>
      <c r="D44" s="117">
        <v>0</v>
      </c>
      <c r="E44" s="117">
        <v>0</v>
      </c>
      <c r="F44" s="102"/>
      <c r="G44"/>
      <c r="H44"/>
      <c r="I44"/>
    </row>
    <row r="45" spans="1:9" ht="12.75" customHeight="1" x14ac:dyDescent="0.25">
      <c r="A45" s="102" t="s">
        <v>117</v>
      </c>
      <c r="B45" s="128">
        <v>48186.36</v>
      </c>
      <c r="C45" s="128">
        <v>166362.99</v>
      </c>
      <c r="D45" s="129">
        <v>-118176.63</v>
      </c>
      <c r="E45" s="130">
        <v>-71.040000000000006</v>
      </c>
      <c r="F45" s="102"/>
      <c r="G45"/>
      <c r="H45"/>
      <c r="I45"/>
    </row>
    <row r="46" spans="1:9" ht="12.75" customHeight="1" x14ac:dyDescent="0.25">
      <c r="A46" s="102" t="s">
        <v>118</v>
      </c>
      <c r="B46" s="128">
        <v>50028.18</v>
      </c>
      <c r="C46" s="128">
        <v>32575</v>
      </c>
      <c r="D46" s="128">
        <v>17453.18</v>
      </c>
      <c r="E46" s="102">
        <v>53.58</v>
      </c>
      <c r="F46" s="102"/>
      <c r="G46"/>
      <c r="H46"/>
      <c r="I46"/>
    </row>
    <row r="47" spans="1:9" ht="12.75" customHeight="1" x14ac:dyDescent="0.25">
      <c r="A47" s="102" t="s">
        <v>120</v>
      </c>
      <c r="B47" s="128">
        <v>26662</v>
      </c>
      <c r="C47" s="128">
        <v>13408.22</v>
      </c>
      <c r="D47" s="128">
        <v>13253.78</v>
      </c>
      <c r="E47" s="102">
        <v>98.85</v>
      </c>
      <c r="F47" s="102"/>
      <c r="G47"/>
      <c r="H47"/>
      <c r="I47"/>
    </row>
    <row r="48" spans="1:9" ht="12.75" customHeight="1" x14ac:dyDescent="0.25">
      <c r="A48" s="102" t="s">
        <v>121</v>
      </c>
      <c r="B48" s="128">
        <v>41309.5</v>
      </c>
      <c r="C48" s="128">
        <v>42374.32</v>
      </c>
      <c r="D48" s="129">
        <v>-1064.82</v>
      </c>
      <c r="E48" s="130">
        <v>-2.5099999999999998</v>
      </c>
      <c r="F48" s="102"/>
      <c r="G48"/>
      <c r="H48"/>
      <c r="I48"/>
    </row>
    <row r="49" spans="1:9" ht="12.75" customHeight="1" x14ac:dyDescent="0.25">
      <c r="A49" s="102" t="s">
        <v>123</v>
      </c>
      <c r="B49" s="102">
        <v>0</v>
      </c>
      <c r="C49" s="128">
        <v>10617.1</v>
      </c>
      <c r="D49" s="129">
        <v>-10617.1</v>
      </c>
      <c r="E49" s="130">
        <v>-100</v>
      </c>
      <c r="F49" s="102"/>
      <c r="G49"/>
      <c r="H49"/>
      <c r="I49"/>
    </row>
    <row r="50" spans="1:9" ht="12.75" customHeight="1" x14ac:dyDescent="0.25">
      <c r="A50" s="102" t="s">
        <v>124</v>
      </c>
      <c r="B50" s="128">
        <v>1503.96</v>
      </c>
      <c r="C50" s="128">
        <v>5309.49</v>
      </c>
      <c r="D50" s="129">
        <v>-3805.53</v>
      </c>
      <c r="E50" s="130">
        <v>-71.67</v>
      </c>
      <c r="F50" s="102"/>
      <c r="G50"/>
      <c r="H50"/>
      <c r="I50"/>
    </row>
    <row r="51" spans="1:9" ht="12.75" customHeight="1" x14ac:dyDescent="0.25">
      <c r="A51" s="102" t="s">
        <v>125</v>
      </c>
      <c r="B51" s="102">
        <v>617.26</v>
      </c>
      <c r="C51" s="102">
        <v>870.69</v>
      </c>
      <c r="D51" s="130">
        <v>-253.43</v>
      </c>
      <c r="E51" s="130">
        <v>-29.11</v>
      </c>
      <c r="F51" s="102"/>
      <c r="G51"/>
      <c r="H51"/>
      <c r="I51"/>
    </row>
    <row r="52" spans="1:9" ht="12.75" customHeight="1" x14ac:dyDescent="0.25">
      <c r="A52" s="102" t="s">
        <v>126</v>
      </c>
      <c r="B52" s="128">
        <v>28401.93</v>
      </c>
      <c r="C52" s="128">
        <v>39849.97</v>
      </c>
      <c r="D52" s="129">
        <v>-11448.04</v>
      </c>
      <c r="E52" s="130">
        <v>-28.73</v>
      </c>
      <c r="F52" s="102"/>
      <c r="G52"/>
      <c r="H52"/>
      <c r="I52"/>
    </row>
    <row r="53" spans="1:9" ht="12.75" customHeight="1" x14ac:dyDescent="0.25">
      <c r="A53" s="102" t="s">
        <v>127</v>
      </c>
      <c r="B53" s="128">
        <v>5962.52</v>
      </c>
      <c r="C53" s="128">
        <v>5665.83</v>
      </c>
      <c r="D53" s="102">
        <v>296.69</v>
      </c>
      <c r="E53" s="102">
        <v>5.24</v>
      </c>
      <c r="F53" s="102"/>
      <c r="G53"/>
      <c r="H53"/>
      <c r="I53"/>
    </row>
    <row r="54" spans="1:9" ht="12.75" customHeight="1" x14ac:dyDescent="0.25">
      <c r="A54" s="102" t="s">
        <v>128</v>
      </c>
      <c r="B54" s="128">
        <v>10392.44</v>
      </c>
      <c r="C54" s="128">
        <v>12061.75</v>
      </c>
      <c r="D54" s="129">
        <v>-1669.31</v>
      </c>
      <c r="E54" s="130">
        <v>-13.84</v>
      </c>
      <c r="F54" s="102"/>
      <c r="G54"/>
      <c r="H54"/>
      <c r="I54"/>
    </row>
    <row r="55" spans="1:9" ht="12.75" customHeight="1" x14ac:dyDescent="0.4">
      <c r="A55" s="102" t="s">
        <v>129</v>
      </c>
      <c r="B55" s="128">
        <v>8751</v>
      </c>
      <c r="C55" s="128">
        <v>8751</v>
      </c>
      <c r="D55" s="102">
        <v>0</v>
      </c>
      <c r="E55" s="102">
        <v>0</v>
      </c>
      <c r="F55" s="117"/>
      <c r="G55"/>
      <c r="H55"/>
      <c r="I55"/>
    </row>
    <row r="56" spans="1:9" ht="12.75" customHeight="1" x14ac:dyDescent="0.25">
      <c r="A56" s="102" t="s">
        <v>130</v>
      </c>
      <c r="B56" s="102">
        <v>0</v>
      </c>
      <c r="C56" s="102">
        <v>300</v>
      </c>
      <c r="D56" s="130">
        <v>-300</v>
      </c>
      <c r="E56" s="130">
        <v>-100</v>
      </c>
      <c r="F56" s="102"/>
      <c r="G56"/>
      <c r="H56"/>
      <c r="I56"/>
    </row>
    <row r="57" spans="1:9" ht="12.75" customHeight="1" x14ac:dyDescent="0.25">
      <c r="A57" s="102" t="s">
        <v>131</v>
      </c>
      <c r="B57" s="102"/>
      <c r="C57" s="102"/>
      <c r="D57" s="102"/>
      <c r="E57" s="102"/>
      <c r="F57" s="102"/>
      <c r="G57"/>
      <c r="H57"/>
      <c r="I57"/>
    </row>
    <row r="58" spans="1:9" x14ac:dyDescent="0.25">
      <c r="A58" s="102" t="s">
        <v>229</v>
      </c>
      <c r="B58" s="128">
        <v>1727.21</v>
      </c>
      <c r="C58" s="128">
        <v>1740.2</v>
      </c>
      <c r="D58" s="130">
        <v>-12.99</v>
      </c>
      <c r="E58" s="130">
        <v>-0.75</v>
      </c>
      <c r="F58" s="102"/>
      <c r="G58"/>
      <c r="H58"/>
      <c r="I58"/>
    </row>
    <row r="59" spans="1:9" ht="12.75" customHeight="1" x14ac:dyDescent="0.25">
      <c r="A59" s="102" t="s">
        <v>230</v>
      </c>
      <c r="B59" s="102">
        <v>224.5</v>
      </c>
      <c r="C59" s="102">
        <v>381.48</v>
      </c>
      <c r="D59" s="130">
        <v>-156.97999999999999</v>
      </c>
      <c r="E59" s="130">
        <v>-41.15</v>
      </c>
      <c r="F59" s="102"/>
      <c r="G59"/>
      <c r="H59"/>
      <c r="I59"/>
    </row>
    <row r="60" spans="1:9" ht="12.75" customHeight="1" x14ac:dyDescent="0.25">
      <c r="A60" s="102" t="s">
        <v>231</v>
      </c>
      <c r="B60" s="102">
        <v>418.04</v>
      </c>
      <c r="C60" s="128">
        <v>1593.12</v>
      </c>
      <c r="D60" s="129">
        <v>-1175.08</v>
      </c>
      <c r="E60" s="130">
        <v>-73.760000000000005</v>
      </c>
      <c r="F60" s="102"/>
      <c r="G60"/>
      <c r="H60"/>
      <c r="I60"/>
    </row>
    <row r="61" spans="1:9" ht="12.75" customHeight="1" x14ac:dyDescent="0.4">
      <c r="A61" s="102" t="s">
        <v>232</v>
      </c>
      <c r="B61" s="117">
        <v>420.8</v>
      </c>
      <c r="C61" s="117">
        <v>0</v>
      </c>
      <c r="D61" s="117">
        <v>420.8</v>
      </c>
      <c r="E61" s="117">
        <v>100</v>
      </c>
      <c r="F61" s="102"/>
      <c r="G61"/>
      <c r="H61"/>
      <c r="I61"/>
    </row>
    <row r="62" spans="1:9" ht="12.75" customHeight="1" x14ac:dyDescent="0.25">
      <c r="A62" s="102" t="s">
        <v>233</v>
      </c>
      <c r="B62" s="128">
        <v>2790.55</v>
      </c>
      <c r="C62" s="128">
        <v>3714.8</v>
      </c>
      <c r="D62" s="130">
        <v>-924.25</v>
      </c>
      <c r="E62" s="130">
        <v>-24.88</v>
      </c>
      <c r="F62" s="102"/>
      <c r="G62"/>
      <c r="H62"/>
      <c r="I62"/>
    </row>
    <row r="63" spans="1:9" ht="12.75" customHeight="1" x14ac:dyDescent="0.25">
      <c r="A63" s="102" t="s">
        <v>132</v>
      </c>
      <c r="B63" s="128">
        <v>1752.57</v>
      </c>
      <c r="C63" s="128">
        <v>2334.58</v>
      </c>
      <c r="D63" s="130">
        <v>-582.01</v>
      </c>
      <c r="E63" s="130">
        <v>-24.93</v>
      </c>
      <c r="F63" s="102"/>
      <c r="G63"/>
      <c r="H63"/>
      <c r="I63"/>
    </row>
    <row r="64" spans="1:9" ht="12.75" customHeight="1" x14ac:dyDescent="0.25">
      <c r="A64" s="102" t="s">
        <v>133</v>
      </c>
      <c r="B64" s="128">
        <v>4691.4399999999996</v>
      </c>
      <c r="C64" s="128">
        <v>1785</v>
      </c>
      <c r="D64" s="128">
        <v>2906.44</v>
      </c>
      <c r="E64" s="102">
        <v>162.83000000000001</v>
      </c>
      <c r="F64" s="102"/>
      <c r="G64"/>
      <c r="H64"/>
      <c r="I64"/>
    </row>
    <row r="65" spans="1:9" ht="12.75" customHeight="1" x14ac:dyDescent="0.4">
      <c r="A65" s="102" t="s">
        <v>134</v>
      </c>
      <c r="B65" s="128">
        <v>3146.1</v>
      </c>
      <c r="C65" s="128">
        <v>4845.8900000000003</v>
      </c>
      <c r="D65" s="129">
        <v>-1699.79</v>
      </c>
      <c r="E65" s="130">
        <v>-35.08</v>
      </c>
      <c r="F65" s="117"/>
      <c r="G65"/>
      <c r="H65"/>
      <c r="I65"/>
    </row>
    <row r="66" spans="1:9" ht="12.75" customHeight="1" x14ac:dyDescent="0.4">
      <c r="A66" s="102" t="s">
        <v>135</v>
      </c>
      <c r="B66" s="128">
        <v>1977.97</v>
      </c>
      <c r="C66" s="128">
        <v>4097.38</v>
      </c>
      <c r="D66" s="129">
        <v>-2119.41</v>
      </c>
      <c r="E66" s="130">
        <v>-51.73</v>
      </c>
      <c r="F66" s="117"/>
      <c r="G66"/>
      <c r="H66"/>
      <c r="I66"/>
    </row>
    <row r="67" spans="1:9" x14ac:dyDescent="0.25">
      <c r="A67" s="102" t="s">
        <v>136</v>
      </c>
      <c r="B67" s="128">
        <v>11004.46</v>
      </c>
      <c r="C67" s="128">
        <v>10142.19</v>
      </c>
      <c r="D67" s="102">
        <v>862.27</v>
      </c>
      <c r="E67" s="102">
        <v>8.5</v>
      </c>
      <c r="F67" s="102"/>
      <c r="G67"/>
      <c r="H67"/>
      <c r="I67"/>
    </row>
    <row r="68" spans="1:9" ht="12.75" customHeight="1" x14ac:dyDescent="0.4">
      <c r="A68" s="102" t="s">
        <v>137</v>
      </c>
      <c r="B68" s="128">
        <v>2166.62</v>
      </c>
      <c r="C68" s="128">
        <v>2233.0100000000002</v>
      </c>
      <c r="D68" s="130">
        <v>-66.39</v>
      </c>
      <c r="E68" s="130">
        <v>-2.97</v>
      </c>
      <c r="F68" s="124"/>
      <c r="G68"/>
      <c r="H68"/>
      <c r="I68"/>
    </row>
    <row r="69" spans="1:9" x14ac:dyDescent="0.25">
      <c r="A69" s="102" t="s">
        <v>138</v>
      </c>
      <c r="B69" s="128">
        <v>2445.64</v>
      </c>
      <c r="C69" s="128">
        <v>9025.5300000000007</v>
      </c>
      <c r="D69" s="129">
        <v>-6579.89</v>
      </c>
      <c r="E69" s="130">
        <v>-72.900000000000006</v>
      </c>
      <c r="F69" s="102"/>
      <c r="G69"/>
      <c r="H69"/>
      <c r="I69"/>
    </row>
    <row r="70" spans="1:9" x14ac:dyDescent="0.25">
      <c r="A70" s="102" t="s">
        <v>139</v>
      </c>
      <c r="B70" s="128">
        <v>1490.04</v>
      </c>
      <c r="C70" s="102">
        <v>472.99</v>
      </c>
      <c r="D70" s="128">
        <v>1017.05</v>
      </c>
      <c r="E70" s="102">
        <v>215.03</v>
      </c>
      <c r="F70" s="102"/>
      <c r="G70"/>
      <c r="H70"/>
      <c r="I70"/>
    </row>
    <row r="71" spans="1:9" ht="12.75" customHeight="1" x14ac:dyDescent="0.25">
      <c r="A71" s="102" t="s">
        <v>140</v>
      </c>
      <c r="B71" s="128">
        <v>6482.7</v>
      </c>
      <c r="C71" s="128">
        <v>5375.07</v>
      </c>
      <c r="D71" s="128">
        <v>1107.6300000000001</v>
      </c>
      <c r="E71" s="102">
        <v>20.61</v>
      </c>
      <c r="F71" s="102"/>
      <c r="G71"/>
      <c r="H71"/>
      <c r="I71"/>
    </row>
    <row r="72" spans="1:9" ht="12.75" customHeight="1" x14ac:dyDescent="0.4">
      <c r="A72" s="102" t="s">
        <v>141</v>
      </c>
      <c r="B72" s="131">
        <v>1463.92</v>
      </c>
      <c r="C72" s="117">
        <v>25</v>
      </c>
      <c r="D72" s="131">
        <v>1438.92</v>
      </c>
      <c r="E72" s="131">
        <v>5755.68</v>
      </c>
      <c r="F72" s="117"/>
      <c r="G72"/>
      <c r="H72"/>
      <c r="I72"/>
    </row>
    <row r="73" spans="1:9" s="36" customFormat="1" ht="12.75" customHeight="1" x14ac:dyDescent="0.4">
      <c r="A73" s="134" t="s">
        <v>143</v>
      </c>
      <c r="B73" s="135">
        <v>620656.61</v>
      </c>
      <c r="C73" s="135">
        <v>793769.22</v>
      </c>
      <c r="D73" s="136">
        <v>-173112.61</v>
      </c>
      <c r="E73" s="137">
        <v>-21.81</v>
      </c>
      <c r="F73" s="138"/>
      <c r="G73" s="47"/>
      <c r="H73" s="47"/>
      <c r="I73" s="47"/>
    </row>
    <row r="74" spans="1:9" x14ac:dyDescent="0.25">
      <c r="A74" s="102"/>
      <c r="B74" s="102"/>
      <c r="C74" s="102"/>
      <c r="D74" s="102"/>
      <c r="E74" s="102"/>
      <c r="F74" s="102"/>
      <c r="G74"/>
      <c r="H74"/>
      <c r="I74"/>
    </row>
    <row r="75" spans="1:9" s="36" customFormat="1" ht="13.8" x14ac:dyDescent="0.4">
      <c r="A75" s="134" t="s">
        <v>234</v>
      </c>
      <c r="B75" s="139">
        <v>-78116.08</v>
      </c>
      <c r="C75" s="140">
        <v>304813.28999999998</v>
      </c>
      <c r="D75" s="139">
        <v>-382929.37</v>
      </c>
      <c r="E75" s="141">
        <v>-125.63</v>
      </c>
      <c r="F75" s="138"/>
      <c r="G75" s="47"/>
      <c r="H75" s="47"/>
      <c r="I75" s="47"/>
    </row>
    <row r="76" spans="1:9" x14ac:dyDescent="0.25">
      <c r="A76" s="102"/>
      <c r="B76" s="102"/>
      <c r="C76" s="102"/>
      <c r="D76" s="102"/>
      <c r="E76" s="102"/>
    </row>
    <row r="77" spans="1:9" x14ac:dyDescent="0.25">
      <c r="A77" s="102"/>
      <c r="B77" s="102"/>
      <c r="C77" s="102"/>
      <c r="D77" s="102"/>
      <c r="E77" s="102"/>
    </row>
    <row r="78" spans="1:9" x14ac:dyDescent="0.25">
      <c r="A78" s="102" t="s">
        <v>235</v>
      </c>
      <c r="B78" s="102"/>
      <c r="C78" s="102"/>
      <c r="D78" s="102"/>
      <c r="E78" s="102"/>
    </row>
    <row r="79" spans="1:9" x14ac:dyDescent="0.25">
      <c r="A79" s="102" t="s">
        <v>236</v>
      </c>
      <c r="B79" s="128">
        <v>5401.5</v>
      </c>
      <c r="C79" s="128">
        <v>8105.28</v>
      </c>
      <c r="D79" s="129">
        <v>-2703.78</v>
      </c>
      <c r="E79" s="130">
        <v>-33.36</v>
      </c>
    </row>
    <row r="80" spans="1:9" x14ac:dyDescent="0.25">
      <c r="A80" s="102" t="s">
        <v>237</v>
      </c>
      <c r="B80" s="102"/>
      <c r="C80" s="102"/>
      <c r="D80" s="102"/>
      <c r="E80" s="102"/>
    </row>
    <row r="81" spans="1:9" ht="13.8" x14ac:dyDescent="0.4">
      <c r="A81" s="102" t="s">
        <v>238</v>
      </c>
      <c r="B81" s="131">
        <v>116212.58</v>
      </c>
      <c r="C81" s="117">
        <v>18</v>
      </c>
      <c r="D81" s="131">
        <v>116194.58</v>
      </c>
      <c r="E81" s="131">
        <v>645525.43999999994</v>
      </c>
    </row>
    <row r="82" spans="1:9" ht="13.8" x14ac:dyDescent="0.4">
      <c r="A82" s="102" t="s">
        <v>239</v>
      </c>
      <c r="B82" s="131">
        <v>116212.58</v>
      </c>
      <c r="C82" s="117">
        <v>18</v>
      </c>
      <c r="D82" s="131">
        <v>116194.58</v>
      </c>
      <c r="E82" s="131">
        <v>645525.43999999994</v>
      </c>
    </row>
    <row r="83" spans="1:9" ht="13.8" x14ac:dyDescent="0.4">
      <c r="A83" s="102" t="s">
        <v>240</v>
      </c>
      <c r="B83" s="131">
        <v>121614.08</v>
      </c>
      <c r="C83" s="131">
        <v>8123.28</v>
      </c>
      <c r="D83" s="131">
        <v>113490.8</v>
      </c>
      <c r="E83" s="131">
        <v>1397.11</v>
      </c>
    </row>
    <row r="84" spans="1:9" x14ac:dyDescent="0.25">
      <c r="A84" s="102"/>
      <c r="B84" s="102"/>
      <c r="C84" s="102"/>
      <c r="D84" s="102"/>
      <c r="E84" s="102"/>
    </row>
    <row r="85" spans="1:9" s="36" customFormat="1" ht="13.8" x14ac:dyDescent="0.4">
      <c r="A85" s="134" t="s">
        <v>144</v>
      </c>
      <c r="B85" s="136">
        <v>-199730.16</v>
      </c>
      <c r="C85" s="135">
        <v>296690.01</v>
      </c>
      <c r="D85" s="136">
        <v>-496420.17</v>
      </c>
      <c r="E85" s="137">
        <v>-167.32</v>
      </c>
      <c r="F85" s="142"/>
      <c r="G85" s="55"/>
      <c r="I85" s="55"/>
    </row>
  </sheetData>
  <pageMargins left="0.75" right="0.75" top="1" bottom="1" header="0.5" footer="0.5"/>
  <headerFooter alignWithMargins="0">
    <oddHeader>&amp;"B"&amp;9&amp;"Times New Roman"NeighborWorks of Western Vermont&amp;"B"
&amp;8&amp;"Times New Roman"Statement of Revenues and Expenditures
&amp;8&amp;"Times New Roman"From 1/1/2022 Through 1/31/2022</oddHeader>
    <oddFooter>&amp;R&amp;6&amp;"Times New Roman"Page:  &amp;P</oddFooter>
  </headerFooter>
  <rowBreaks count="1" manualBreakCount="1">
    <brk id="76"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8435C56720FF04AB83586B989D7A66B" ma:contentTypeVersion="13" ma:contentTypeDescription="Create a new document." ma:contentTypeScope="" ma:versionID="f67b759e68b1c5d5b100a212565b719c">
  <xsd:schema xmlns:xsd="http://www.w3.org/2001/XMLSchema" xmlns:xs="http://www.w3.org/2001/XMLSchema" xmlns:p="http://schemas.microsoft.com/office/2006/metadata/properties" xmlns:ns2="1bcd4b49-3441-4dd2-959a-c4a26bad385a" xmlns:ns3="4a71f7d2-fa94-444f-8b35-922b89724775" targetNamespace="http://schemas.microsoft.com/office/2006/metadata/properties" ma:root="true" ma:fieldsID="b2a8eb61366943c9337f77f0b7a39a1f" ns2:_="" ns3:_="">
    <xsd:import namespace="1bcd4b49-3441-4dd2-959a-c4a26bad385a"/>
    <xsd:import namespace="4a71f7d2-fa94-444f-8b35-922b8972477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cd4b49-3441-4dd2-959a-c4a26bad38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71f7d2-fa94-444f-8b35-922b8972477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86C9AA-8B25-41F5-BCCF-97A8B21E7AB6}">
  <ds:schemaRefs>
    <ds:schemaRef ds:uri="http://schemas.microsoft.com/sharepoint/v3/contenttype/forms"/>
  </ds:schemaRefs>
</ds:datastoreItem>
</file>

<file path=customXml/itemProps2.xml><?xml version="1.0" encoding="utf-8"?>
<ds:datastoreItem xmlns:ds="http://schemas.openxmlformats.org/officeDocument/2006/customXml" ds:itemID="{B786EF01-CFAC-47B0-AE06-4CBB1E9B5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cd4b49-3441-4dd2-959a-c4a26bad385a"/>
    <ds:schemaRef ds:uri="4a71f7d2-fa94-444f-8b35-922b897247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4D9809-BE2B-44AF-A579-53DC08EC4AE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Grant Descriptions</vt:lpstr>
      <vt:lpstr>FY22 Board Approved Budget</vt:lpstr>
      <vt:lpstr>Op Stmt of Act (Bud v Act)</vt:lpstr>
      <vt:lpstr>Grant Expenses Breakdown</vt:lpstr>
      <vt:lpstr>Consultants Expenses Breakdown</vt:lpstr>
      <vt:lpstr>Rev + Exp by Prog</vt:lpstr>
      <vt:lpstr>Dashboard</vt:lpstr>
      <vt:lpstr>Balance Sheet</vt:lpstr>
      <vt:lpstr>Consolidated Stmt of 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Starzynski</dc:creator>
  <cp:keywords/>
  <dc:description/>
  <cp:lastModifiedBy>Heather Starzynski</cp:lastModifiedBy>
  <cp:revision/>
  <dcterms:created xsi:type="dcterms:W3CDTF">2022-03-29T15:39:13Z</dcterms:created>
  <dcterms:modified xsi:type="dcterms:W3CDTF">2022-05-16T17:11:12Z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0x01010098435C56720FF04AB83586B989D7A66B</vt:lpwstr>
  </property>
</Properties>
</file>