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wwvt.sharepoint.com/sites/accounting/Shared Documents/Budget/FY2022/"/>
    </mc:Choice>
  </mc:AlternateContent>
  <xr:revisionPtr revIDLastSave="4" documentId="8_{C193EDF3-198D-452B-A485-C30384F3E662}" xr6:coauthVersionLast="47" xr6:coauthVersionMax="47" xr10:uidLastSave="{AB409DEC-0097-4FA0-8F2D-0E6F268D1373}"/>
  <bookViews>
    <workbookView xWindow="-108" yWindow="-108" windowWidth="23256" windowHeight="12576" xr2:uid="{C023EBDA-F295-43CE-9F8A-7E29FFC9910C}"/>
  </bookViews>
  <sheets>
    <sheet name="DRAFT Operating Budget FY 2022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10" i="1" l="1"/>
  <c r="P110" i="1"/>
  <c r="N110" i="1"/>
  <c r="L110" i="1"/>
  <c r="K110" i="1"/>
  <c r="K111" i="1" s="1"/>
  <c r="J110" i="1"/>
  <c r="H110" i="1"/>
  <c r="F110" i="1"/>
  <c r="D110" i="1"/>
  <c r="O109" i="1"/>
  <c r="S109" i="1" s="1"/>
  <c r="S108" i="1"/>
  <c r="I107" i="1"/>
  <c r="E107" i="1"/>
  <c r="C107" i="1"/>
  <c r="S107" i="1" s="1"/>
  <c r="S106" i="1"/>
  <c r="S105" i="1"/>
  <c r="S104" i="1"/>
  <c r="C103" i="1"/>
  <c r="S103" i="1" s="1"/>
  <c r="C102" i="1"/>
  <c r="S102" i="1" s="1"/>
  <c r="C101" i="1"/>
  <c r="S101" i="1" s="1"/>
  <c r="C100" i="1"/>
  <c r="S100" i="1" s="1"/>
  <c r="C99" i="1"/>
  <c r="S99" i="1" s="1"/>
  <c r="C98" i="1"/>
  <c r="S98" i="1" s="1"/>
  <c r="C97" i="1"/>
  <c r="S97" i="1" s="1"/>
  <c r="S96" i="1"/>
  <c r="S95" i="1"/>
  <c r="C95" i="1"/>
  <c r="S94" i="1"/>
  <c r="C94" i="1"/>
  <c r="E93" i="1"/>
  <c r="C93" i="1"/>
  <c r="S93" i="1" s="1"/>
  <c r="C92" i="1"/>
  <c r="S92" i="1" s="1"/>
  <c r="Q91" i="1"/>
  <c r="S91" i="1" s="1"/>
  <c r="C90" i="1"/>
  <c r="S90" i="1" s="1"/>
  <c r="S89" i="1"/>
  <c r="S88" i="1"/>
  <c r="C88" i="1"/>
  <c r="S87" i="1"/>
  <c r="C87" i="1"/>
  <c r="O86" i="1"/>
  <c r="C86" i="1"/>
  <c r="S86" i="1" s="1"/>
  <c r="C85" i="1"/>
  <c r="S85" i="1" s="1"/>
  <c r="C84" i="1"/>
  <c r="S84" i="1" s="1"/>
  <c r="I83" i="1"/>
  <c r="S83" i="1" s="1"/>
  <c r="S82" i="1"/>
  <c r="S81" i="1"/>
  <c r="S80" i="1"/>
  <c r="S79" i="1"/>
  <c r="M79" i="1"/>
  <c r="C79" i="1"/>
  <c r="S78" i="1"/>
  <c r="S77" i="1"/>
  <c r="C76" i="1"/>
  <c r="S76" i="1" s="1"/>
  <c r="C75" i="1"/>
  <c r="S75" i="1" s="1"/>
  <c r="C74" i="1"/>
  <c r="S74" i="1" s="1"/>
  <c r="C73" i="1"/>
  <c r="S73" i="1" s="1"/>
  <c r="M72" i="1"/>
  <c r="C72" i="1"/>
  <c r="S72" i="1" s="1"/>
  <c r="S71" i="1"/>
  <c r="C71" i="1"/>
  <c r="S70" i="1"/>
  <c r="C69" i="1"/>
  <c r="S69" i="1" s="1"/>
  <c r="Q68" i="1"/>
  <c r="C68" i="1"/>
  <c r="S68" i="1" s="1"/>
  <c r="S67" i="1"/>
  <c r="Q67" i="1"/>
  <c r="C67" i="1"/>
  <c r="Q66" i="1"/>
  <c r="C66" i="1"/>
  <c r="S66" i="1" s="1"/>
  <c r="Q65" i="1"/>
  <c r="I65" i="1"/>
  <c r="S65" i="1" s="1"/>
  <c r="E65" i="1"/>
  <c r="Q64" i="1"/>
  <c r="I64" i="1"/>
  <c r="G64" i="1"/>
  <c r="E64" i="1"/>
  <c r="S64" i="1" s="1"/>
  <c r="Q63" i="1"/>
  <c r="S63" i="1" s="1"/>
  <c r="C62" i="1"/>
  <c r="S62" i="1" s="1"/>
  <c r="Q61" i="1"/>
  <c r="S61" i="1" s="1"/>
  <c r="C61" i="1"/>
  <c r="Q60" i="1"/>
  <c r="E60" i="1"/>
  <c r="S60" i="1" s="1"/>
  <c r="C60" i="1"/>
  <c r="Q59" i="1"/>
  <c r="E59" i="1"/>
  <c r="C59" i="1"/>
  <c r="S59" i="1" s="1"/>
  <c r="Q58" i="1"/>
  <c r="C58" i="1"/>
  <c r="S58" i="1" s="1"/>
  <c r="C57" i="1"/>
  <c r="S57" i="1" s="1"/>
  <c r="C56" i="1"/>
  <c r="S56" i="1" s="1"/>
  <c r="Q55" i="1"/>
  <c r="Q110" i="1" s="1"/>
  <c r="O55" i="1"/>
  <c r="O110" i="1" s="1"/>
  <c r="M55" i="1"/>
  <c r="M110" i="1" s="1"/>
  <c r="I55" i="1"/>
  <c r="I110" i="1" s="1"/>
  <c r="G55" i="1"/>
  <c r="G110" i="1" s="1"/>
  <c r="E55" i="1"/>
  <c r="C55" i="1"/>
  <c r="S55" i="1" s="1"/>
  <c r="S110" i="1" s="1"/>
  <c r="Q52" i="1"/>
  <c r="P52" i="1"/>
  <c r="P53" i="1" s="1"/>
  <c r="O52" i="1"/>
  <c r="O53" i="1" s="1"/>
  <c r="N52" i="1"/>
  <c r="N53" i="1" s="1"/>
  <c r="M52" i="1"/>
  <c r="M53" i="1" s="1"/>
  <c r="L52" i="1"/>
  <c r="L53" i="1" s="1"/>
  <c r="K52" i="1"/>
  <c r="K53" i="1" s="1"/>
  <c r="J52" i="1"/>
  <c r="J53" i="1" s="1"/>
  <c r="H52" i="1"/>
  <c r="H53" i="1" s="1"/>
  <c r="G52" i="1"/>
  <c r="F52" i="1"/>
  <c r="F53" i="1" s="1"/>
  <c r="D52" i="1"/>
  <c r="D53" i="1" s="1"/>
  <c r="C51" i="1"/>
  <c r="S51" i="1" s="1"/>
  <c r="C50" i="1"/>
  <c r="S50" i="1" s="1"/>
  <c r="C49" i="1"/>
  <c r="S49" i="1" s="1"/>
  <c r="S48" i="1"/>
  <c r="C48" i="1"/>
  <c r="C47" i="1"/>
  <c r="S47" i="1" s="1"/>
  <c r="C46" i="1"/>
  <c r="S46" i="1" s="1"/>
  <c r="S45" i="1"/>
  <c r="C45" i="1"/>
  <c r="S44" i="1"/>
  <c r="C44" i="1"/>
  <c r="C43" i="1"/>
  <c r="S43" i="1" s="1"/>
  <c r="C42" i="1"/>
  <c r="S42" i="1" s="1"/>
  <c r="O41" i="1"/>
  <c r="C41" i="1"/>
  <c r="S41" i="1" s="1"/>
  <c r="S40" i="1"/>
  <c r="C40" i="1"/>
  <c r="C39" i="1"/>
  <c r="S39" i="1" s="1"/>
  <c r="S38" i="1"/>
  <c r="C38" i="1"/>
  <c r="G37" i="1"/>
  <c r="C37" i="1"/>
  <c r="S37" i="1" s="1"/>
  <c r="C36" i="1"/>
  <c r="S36" i="1" s="1"/>
  <c r="C35" i="1"/>
  <c r="S35" i="1" s="1"/>
  <c r="E34" i="1"/>
  <c r="C34" i="1"/>
  <c r="S34" i="1" s="1"/>
  <c r="E33" i="1"/>
  <c r="E52" i="1" s="1"/>
  <c r="E53" i="1" s="1"/>
  <c r="C33" i="1"/>
  <c r="S33" i="1" s="1"/>
  <c r="C32" i="1"/>
  <c r="S32" i="1" s="1"/>
  <c r="C31" i="1"/>
  <c r="S31" i="1" s="1"/>
  <c r="S30" i="1"/>
  <c r="G30" i="1"/>
  <c r="C30" i="1"/>
  <c r="C29" i="1"/>
  <c r="S29" i="1" s="1"/>
  <c r="S28" i="1"/>
  <c r="C28" i="1"/>
  <c r="I27" i="1"/>
  <c r="C27" i="1"/>
  <c r="S27" i="1" s="1"/>
  <c r="C26" i="1"/>
  <c r="S26" i="1" s="1"/>
  <c r="I25" i="1"/>
  <c r="S25" i="1" s="1"/>
  <c r="C25" i="1"/>
  <c r="I24" i="1"/>
  <c r="C24" i="1"/>
  <c r="S24" i="1" s="1"/>
  <c r="I23" i="1"/>
  <c r="I52" i="1" s="1"/>
  <c r="I53" i="1" s="1"/>
  <c r="C23" i="1"/>
  <c r="C52" i="1" s="1"/>
  <c r="P21" i="1"/>
  <c r="O21" i="1"/>
  <c r="N21" i="1"/>
  <c r="M21" i="1"/>
  <c r="L21" i="1"/>
  <c r="K21" i="1"/>
  <c r="J21" i="1"/>
  <c r="I21" i="1"/>
  <c r="H21" i="1"/>
  <c r="F21" i="1"/>
  <c r="S20" i="1"/>
  <c r="S19" i="1"/>
  <c r="C19" i="1"/>
  <c r="C18" i="1"/>
  <c r="S18" i="1" s="1"/>
  <c r="S17" i="1"/>
  <c r="C17" i="1"/>
  <c r="S16" i="1"/>
  <c r="C15" i="1"/>
  <c r="S15" i="1" s="1"/>
  <c r="E14" i="1"/>
  <c r="C14" i="1"/>
  <c r="S14" i="1" s="1"/>
  <c r="S13" i="1"/>
  <c r="C13" i="1"/>
  <c r="C12" i="1"/>
  <c r="S12" i="1" s="1"/>
  <c r="S11" i="1"/>
  <c r="C11" i="1"/>
  <c r="E10" i="1"/>
  <c r="C10" i="1"/>
  <c r="S10" i="1" s="1"/>
  <c r="E9" i="1"/>
  <c r="E21" i="1" s="1"/>
  <c r="C8" i="1"/>
  <c r="S8" i="1" s="1"/>
  <c r="S7" i="1"/>
  <c r="C7" i="1"/>
  <c r="S6" i="1"/>
  <c r="G5" i="1"/>
  <c r="G21" i="1" s="1"/>
  <c r="C5" i="1"/>
  <c r="S5" i="1" s="1"/>
  <c r="Q4" i="1"/>
  <c r="Q21" i="1" s="1"/>
  <c r="C4" i="1"/>
  <c r="U110" i="1" l="1"/>
  <c r="U111" i="1" s="1"/>
  <c r="U112" i="1" s="1"/>
  <c r="S114" i="1"/>
  <c r="G111" i="1"/>
  <c r="K112" i="1"/>
  <c r="M112" i="1"/>
  <c r="I111" i="1"/>
  <c r="M111" i="1"/>
  <c r="I112" i="1"/>
  <c r="O112" i="1"/>
  <c r="G53" i="1"/>
  <c r="Q111" i="1"/>
  <c r="Q114" i="1" s="1"/>
  <c r="Q115" i="1" s="1"/>
  <c r="Q116" i="1" s="1"/>
  <c r="O111" i="1"/>
  <c r="C53" i="1"/>
  <c r="S52" i="1"/>
  <c r="S53" i="1" s="1"/>
  <c r="Q53" i="1"/>
  <c r="Q112" i="1" s="1"/>
  <c r="Q113" i="1" s="1"/>
  <c r="C110" i="1"/>
  <c r="S9" i="1"/>
  <c r="S23" i="1"/>
  <c r="C21" i="1"/>
  <c r="S21" i="1" s="1"/>
  <c r="E110" i="1"/>
  <c r="S4" i="1"/>
  <c r="E111" i="1" l="1"/>
  <c r="E112" i="1"/>
  <c r="G112" i="1"/>
  <c r="S112" i="1"/>
  <c r="S115" i="1"/>
  <c r="S116" i="1" s="1"/>
  <c r="C112" i="1"/>
  <c r="C111" i="1"/>
  <c r="S111" i="1" l="1"/>
  <c r="U113" i="1" s="1"/>
  <c r="C113" i="1"/>
  <c r="E113" i="1"/>
  <c r="E114" i="1" s="1"/>
  <c r="E115" i="1" s="1"/>
  <c r="C114" i="1" l="1"/>
  <c r="C115" i="1" s="1"/>
  <c r="C116" i="1" s="1"/>
  <c r="K113" i="1"/>
  <c r="K114" i="1" s="1"/>
  <c r="K115" i="1" s="1"/>
  <c r="O113" i="1"/>
  <c r="O114" i="1" s="1"/>
  <c r="O115" i="1" s="1"/>
  <c r="I113" i="1"/>
  <c r="I114" i="1" s="1"/>
  <c r="I115" i="1" s="1"/>
  <c r="G113" i="1"/>
  <c r="G114" i="1" s="1"/>
  <c r="G115" i="1" s="1"/>
  <c r="G116" i="1" s="1"/>
  <c r="M113" i="1"/>
  <c r="M114" i="1" s="1"/>
  <c r="M115" i="1" s="1"/>
  <c r="M116" i="1" s="1"/>
  <c r="U116" i="1" s="1"/>
  <c r="S11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tc={A8147350-3589-4305-A566-F40B4860A9EE}</author>
    <author>tc={8F4BB92A-3E5A-4BDD-BCD7-CA09B104DA4A}</author>
    <author>tc={D0671C3E-51FE-479A-92FD-683487CFAB80}</author>
    <author>tc={74B76AC3-88D1-42FA-9086-FBC319D6D029}</author>
  </authors>
  <commentList>
    <comment ref="E2" authorId="0" shapeId="0" xr:uid="{A8147350-3589-4305-A566-F40B4860A9EE}">
      <text>
        <t>[Threaded comment]
Your version of Excel allows you to read this threaded comment; however, any edits to it will get removed if the file is opened in a newer version of Excel. Learn more: https://go.microsoft.com/fwlink/?linkid=870924
Comment:
    HEAT Squad has congressional earmarks suggested by Leahy/Sanders of $500K each</t>
      </text>
    </comment>
    <comment ref="C107" authorId="1" shapeId="0" xr:uid="{8F4BB92A-3E5A-4BDD-BCD7-CA09B104DA4A}">
      <text>
        <t>[Threaded comment]
Your version of Excel allows you to read this threaded comment; however, any edits to it will get removed if the file is opened in a newer version of Excel. Learn more: https://go.microsoft.com/fwlink/?linkid=870924
Comment:
    Admin Costs can be up to 15% of VHIP Grant Funds, Grants to Landlords 15 units x $30K</t>
      </text>
    </comment>
    <comment ref="E107" authorId="2" shapeId="0" xr:uid="{D0671C3E-51FE-479A-92FD-683487CFAB80}">
      <text>
        <t>[Threaded comment]
Your version of Excel allows you to read this threaded comment; however, any edits to it will get removed if the file is opened in a newer version of Excel. Learn more: https://go.microsoft.com/fwlink/?linkid=870924
Comment:
    98,000 from CEDF amendment current grant, $20K from VLITE 2021 amendment</t>
      </text>
    </comment>
    <comment ref="G107" authorId="3" shapeId="0" xr:uid="{74B76AC3-88D1-42FA-9086-FBC319D6D029}">
      <text>
        <t>[Threaded comment]
Your version of Excel allows you to read this threaded comment; however, any edits to it will get removed if the file is opened in a newer version of Excel. Learn more: https://go.microsoft.com/fwlink/?linkid=870924
Comment:
    Pending info from Housing Stabilization Grant Spending</t>
      </text>
    </comment>
  </commentList>
</comments>
</file>

<file path=xl/sharedStrings.xml><?xml version="1.0" encoding="utf-8"?>
<sst xmlns="http://schemas.openxmlformats.org/spreadsheetml/2006/main" count="190" uniqueCount="187">
  <si>
    <t>Housing Preservation</t>
  </si>
  <si>
    <t>HomeOwnership Promotion</t>
  </si>
  <si>
    <t>Community Building &amp; Engagement</t>
  </si>
  <si>
    <t>GL Code</t>
  </si>
  <si>
    <t>GL Description</t>
  </si>
  <si>
    <t>HOME Repair</t>
  </si>
  <si>
    <t>HEAT Squad</t>
  </si>
  <si>
    <t>Homebuyer Education / Counseling</t>
  </si>
  <si>
    <t>Lending</t>
  </si>
  <si>
    <t>Neighborhood Stabilization</t>
  </si>
  <si>
    <t>Community Engagement</t>
  </si>
  <si>
    <t>Real Estate / Rental Property Mgt</t>
  </si>
  <si>
    <t>General Admin</t>
  </si>
  <si>
    <t>Grand Total</t>
  </si>
  <si>
    <t>Notes</t>
  </si>
  <si>
    <t>Next Steps</t>
  </si>
  <si>
    <t>Level of Certainty</t>
  </si>
  <si>
    <t>Grant Code</t>
  </si>
  <si>
    <t>Grant Revenue -40000</t>
  </si>
  <si>
    <t>VCDP - Scattered Site (West Rutland)</t>
  </si>
  <si>
    <t>$450,000 funding shared across programs &amp; capital for FY2022</t>
  </si>
  <si>
    <t>VCDP 2022 Budget Amendment in Process Q4 2021</t>
  </si>
  <si>
    <t>VCDP - Housing Stabilization Program - CARES</t>
  </si>
  <si>
    <t>Staffing Costs for Homeownership Center plus direct grants to clients</t>
  </si>
  <si>
    <t>TBD</t>
  </si>
  <si>
    <t>VCDP - VHIP (Vermont Housing Improvement Program)</t>
  </si>
  <si>
    <t>$1,000,000 for 2-years (up to 15% for Program Management)</t>
  </si>
  <si>
    <t>Need to finalize a grant, state needs final approval of ARPA funding use for this program to launch</t>
  </si>
  <si>
    <t>VCDP - Rental Repair - CARES</t>
  </si>
  <si>
    <t>CDFI Admin Support</t>
  </si>
  <si>
    <t>Based on # of hours/loan for Purchase/HOME Repair</t>
  </si>
  <si>
    <t>Launch new product</t>
  </si>
  <si>
    <t>CEDF - ARPA (2022 Program)</t>
  </si>
  <si>
    <t>ARPA Funds - pending approval of ARPA spending on this program</t>
  </si>
  <si>
    <t>Apply via RFP in November for $1M over two years, likely to launch new program in Q2 2022</t>
  </si>
  <si>
    <t>CEDF - ARRA (Wood Stoves)</t>
  </si>
  <si>
    <t>$108,000 extending from 2021 into 2022 due to supply chain issues, $98,000 of the 2021 funding extension will be for direct rebates to customers</t>
  </si>
  <si>
    <t>Finalize Amendment for date extension into 2022</t>
  </si>
  <si>
    <t>CEDF - GMP</t>
  </si>
  <si>
    <t xml:space="preserve">GMP has offered, to be included in grant? </t>
  </si>
  <si>
    <t xml:space="preserve">Follow up with Kirk Shields &amp; CEDF </t>
  </si>
  <si>
    <t>Efficiency Vermont - Interest Rate Buydown</t>
  </si>
  <si>
    <t>Continuing Funding from EVT</t>
  </si>
  <si>
    <t>New contract for FY 2022 in Q4 2021</t>
  </si>
  <si>
    <t>Vermont Community Foundation - The New Green Fund</t>
  </si>
  <si>
    <t>NEK "hole" in budget</t>
  </si>
  <si>
    <t>Met and provided budget to VCF</t>
  </si>
  <si>
    <t>VLITE</t>
  </si>
  <si>
    <t>Submitted amendment to extend $34,000 into FY 2022 due to contractor delays in FY 2021</t>
  </si>
  <si>
    <t>November application, December board meeting to approve</t>
  </si>
  <si>
    <t xml:space="preserve">VHFA </t>
  </si>
  <si>
    <t>Annual Amount Granted to HomeownerShip Centers</t>
  </si>
  <si>
    <t xml:space="preserve">VCDP Bennington    </t>
  </si>
  <si>
    <t>Project Delay in FY 2021, will end by June 2022, all direct grants to landlords</t>
  </si>
  <si>
    <t>Tillotson Fund</t>
  </si>
  <si>
    <t>Potential for $300K grant, applying in Q1 2022</t>
  </si>
  <si>
    <t>NH Private Foundation - would be for Essex County NEK, Jan 2022 application</t>
  </si>
  <si>
    <t xml:space="preserve">NeighborWorks- HUD Counseling   </t>
  </si>
  <si>
    <t>4% increase budgeted</t>
  </si>
  <si>
    <t>Grant in process, will not have official funds amount until FY 2022</t>
  </si>
  <si>
    <t>NeighborWorks - Supplemental</t>
  </si>
  <si>
    <t xml:space="preserve">NeighborWorks - Expendable   </t>
  </si>
  <si>
    <t>To be allocated across program lines</t>
  </si>
  <si>
    <t>Determine preferred allocation methodology</t>
  </si>
  <si>
    <t>Total Grant Revenue</t>
  </si>
  <si>
    <t>Earned Revenue</t>
  </si>
  <si>
    <t xml:space="preserve">Fees - Loan Origination  </t>
  </si>
  <si>
    <t>2 Purchase/HOME Repairs, 3 Home Repair 2nd Gen VCDP, 1 Habitat 1st Mortgage</t>
  </si>
  <si>
    <t xml:space="preserve">Fees - RLF Loan Servicing </t>
  </si>
  <si>
    <t>$12/loan/month - 834 Loans as of 9/30/21</t>
  </si>
  <si>
    <t>Update with new Loan numbers for Year End</t>
  </si>
  <si>
    <t xml:space="preserve">Fees - PLP Loan Servicing </t>
  </si>
  <si>
    <t>$6/loan/month - 29 loans as of 9/30/21</t>
  </si>
  <si>
    <t xml:space="preserve">Fees - Project Admin Fees </t>
  </si>
  <si>
    <t xml:space="preserve">Fees - Escrow Management  </t>
  </si>
  <si>
    <t>36 Energy Loans X $250 escrow Fee/loan</t>
  </si>
  <si>
    <t xml:space="preserve">Fees - Project Escrow  </t>
  </si>
  <si>
    <t xml:space="preserve">Fees - General Contracting  </t>
  </si>
  <si>
    <t>45 projects @ $5,000 average</t>
  </si>
  <si>
    <t xml:space="preserve">Fees - Homebuyer Education Class </t>
  </si>
  <si>
    <t>How many households for 2022? (89 Ehome, 39 in person as of 7/31/21)</t>
  </si>
  <si>
    <t>Update with new info as needed</t>
  </si>
  <si>
    <t xml:space="preserve">Fees - Audit   </t>
  </si>
  <si>
    <t>Audit Fees ($150 x 300 audits), updated to reflect additional auditor reduced by VLITE/CEDF</t>
  </si>
  <si>
    <t xml:space="preserve">Fees - Test Out  </t>
  </si>
  <si>
    <t>$250 DIY Test-Out Fees ($250 x 20 projects) &amp; HS-Lite $350 Fees ($350 x 55 projects)</t>
  </si>
  <si>
    <t xml:space="preserve">Fees - Audit Projects  </t>
  </si>
  <si>
    <t>Project Coordination Fees (45 projects x $500 10% fee) Reduce fees by 60%, cannot charge if customer 120% AMI &amp; under, EVT contract.  Projections &amp; fees increase if (1) added auditor.</t>
  </si>
  <si>
    <t xml:space="preserve">Fees - EVT </t>
  </si>
  <si>
    <t>EVT $200 Test-Out Fees ($200 x 120 projects)</t>
  </si>
  <si>
    <t>Fees - Blower Door Test</t>
  </si>
  <si>
    <t>EVT Workforce Development Contract, $1M over two years</t>
  </si>
  <si>
    <t>Waiting on the state, question of not being able to use ARPA funds</t>
  </si>
  <si>
    <t xml:space="preserve">Fees - Other   </t>
  </si>
  <si>
    <t>Credit Report Fees for additional counseling sessions</t>
  </si>
  <si>
    <t>Fees - Financial Coaching</t>
  </si>
  <si>
    <t>Offered with no fee with Homebuyer Education courses</t>
  </si>
  <si>
    <t xml:space="preserve">Fees - Foreclosure Prevention  </t>
  </si>
  <si>
    <t>Fees - VCDP Admin</t>
  </si>
  <si>
    <t>12% of projected VCDP RLF repayments in 2022</t>
  </si>
  <si>
    <t xml:space="preserve">Fees - Homestead   </t>
  </si>
  <si>
    <t>Our portfolio resales can be up to 6% when a resale - buyer driven is $5900, monthly fees ($1045*12)</t>
  </si>
  <si>
    <t xml:space="preserve">Management Fee Revenue   </t>
  </si>
  <si>
    <t xml:space="preserve">Contributions - Corporate   </t>
  </si>
  <si>
    <t xml:space="preserve">Contributions - Foundations   </t>
  </si>
  <si>
    <t xml:space="preserve">Contributions - Individual   </t>
  </si>
  <si>
    <t xml:space="preserve">Contributions - Town Ballot  </t>
  </si>
  <si>
    <t xml:space="preserve">Interest - Bank Accounts  </t>
  </si>
  <si>
    <t xml:space="preserve">Interest Income - Loans Repayments </t>
  </si>
  <si>
    <t>Total Interest Repayments less interest for capital. Down 20% from 2021</t>
  </si>
  <si>
    <t xml:space="preserve">Rental Income    </t>
  </si>
  <si>
    <t xml:space="preserve">Other Revenues    </t>
  </si>
  <si>
    <t xml:space="preserve">Sales Revenue       </t>
  </si>
  <si>
    <t>Total Earned Revenue</t>
  </si>
  <si>
    <t>Total Revenue</t>
  </si>
  <si>
    <t>Expenses</t>
  </si>
  <si>
    <t>Salaries/Wages/Benefits &amp; Taxes</t>
  </si>
  <si>
    <t>One new Home Repair Staff for VHIP, One new Energy Auditor, One Outreach &amp; Communications, Homeownership Counselor</t>
  </si>
  <si>
    <t>Other Employee Benefits &amp; Expenses</t>
  </si>
  <si>
    <t xml:space="preserve">Advertising     </t>
  </si>
  <si>
    <t xml:space="preserve">Rent     </t>
  </si>
  <si>
    <t xml:space="preserve">Printing     </t>
  </si>
  <si>
    <t xml:space="preserve">Communications     </t>
  </si>
  <si>
    <t xml:space="preserve">Internet and Website   </t>
  </si>
  <si>
    <t xml:space="preserve">Equipment &amp; Furniture - Expendable </t>
  </si>
  <si>
    <t xml:space="preserve">Software Support and Upgrades  </t>
  </si>
  <si>
    <t xml:space="preserve">Software User Fees   </t>
  </si>
  <si>
    <t>4512 SF - Operating Allocation</t>
  </si>
  <si>
    <t xml:space="preserve">Office Supplies    </t>
  </si>
  <si>
    <t xml:space="preserve">Copier Lease    </t>
  </si>
  <si>
    <t>Leased copier</t>
  </si>
  <si>
    <t xml:space="preserve">Office Cleaning &amp; Supplies  </t>
  </si>
  <si>
    <t xml:space="preserve">Shredding Services    </t>
  </si>
  <si>
    <t xml:space="preserve">Postage     </t>
  </si>
  <si>
    <t xml:space="preserve">Dues and Subscriptions   </t>
  </si>
  <si>
    <t xml:space="preserve">Contributions        </t>
  </si>
  <si>
    <t xml:space="preserve">Rubbish, Lawn &amp; Snow  </t>
  </si>
  <si>
    <t xml:space="preserve">Repairs &amp; Maintenance   </t>
  </si>
  <si>
    <t xml:space="preserve">Insurance - General   </t>
  </si>
  <si>
    <t>Insurance - D&amp;O</t>
  </si>
  <si>
    <t>Auto Insurance</t>
  </si>
  <si>
    <t xml:space="preserve">Program Supplies &amp; Expenses  </t>
  </si>
  <si>
    <t xml:space="preserve">Mileage/Car Expense/Travel    </t>
  </si>
  <si>
    <t>Community events</t>
  </si>
  <si>
    <t xml:space="preserve">Conferences and Meetings   </t>
  </si>
  <si>
    <t xml:space="preserve">Employee Training    </t>
  </si>
  <si>
    <t xml:space="preserve">Marketing Expenses    </t>
  </si>
  <si>
    <t xml:space="preserve">Credit Reports    </t>
  </si>
  <si>
    <t>Homebuyer Education, Counseling, and Loan Customers</t>
  </si>
  <si>
    <t xml:space="preserve">Access &amp; Loan Fees  </t>
  </si>
  <si>
    <t xml:space="preserve">Recording Fees    </t>
  </si>
  <si>
    <t xml:space="preserve">Appraisals     </t>
  </si>
  <si>
    <t xml:space="preserve">HBE Class Fees Returned  </t>
  </si>
  <si>
    <t>Bad Debt</t>
  </si>
  <si>
    <t xml:space="preserve">Legal Fees    </t>
  </si>
  <si>
    <t xml:space="preserve">Audit     </t>
  </si>
  <si>
    <t xml:space="preserve">Consultant Fees    </t>
  </si>
  <si>
    <t>Board Development</t>
  </si>
  <si>
    <t xml:space="preserve">Contractor Fees    </t>
  </si>
  <si>
    <t>Pass through fee from line 28, Fees - General Contracting</t>
  </si>
  <si>
    <t xml:space="preserve">Contract Staff Fees   </t>
  </si>
  <si>
    <t xml:space="preserve">Heating / Fuel Oil  </t>
  </si>
  <si>
    <t xml:space="preserve">Electricity     </t>
  </si>
  <si>
    <t xml:space="preserve">Lawn Maintenance    </t>
  </si>
  <si>
    <t xml:space="preserve">Snow Removal    </t>
  </si>
  <si>
    <t xml:space="preserve">Maintenance Supp / Exp  </t>
  </si>
  <si>
    <t xml:space="preserve">Interest Expense    </t>
  </si>
  <si>
    <t xml:space="preserve">Bank/Credit Card Fees   </t>
  </si>
  <si>
    <t xml:space="preserve">Payroll Processing Fees   </t>
  </si>
  <si>
    <t xml:space="preserve">Finance, Late Charges, &amp; Penalties </t>
  </si>
  <si>
    <t xml:space="preserve">Property Taxes    </t>
  </si>
  <si>
    <t xml:space="preserve">Other Taxes    </t>
  </si>
  <si>
    <t xml:space="preserve">Water and Sewer   </t>
  </si>
  <si>
    <t xml:space="preserve">Grants to Clients   </t>
  </si>
  <si>
    <t>HOME Repair: VHIP, Grants to Landlords @ 15 units x $30K/unit, Bennington $40K to landlords HEAT Squad: VLITE and CEDF</t>
  </si>
  <si>
    <t xml:space="preserve">Miscellaneous Expense    </t>
  </si>
  <si>
    <t xml:space="preserve">Management Fee Exps   </t>
  </si>
  <si>
    <t>Direct Expenses</t>
  </si>
  <si>
    <t>Direct Expenses without passthru grants</t>
  </si>
  <si>
    <t>Program</t>
  </si>
  <si>
    <t>Profit (Loss) by program before Indirect Costs</t>
  </si>
  <si>
    <t>Admin</t>
  </si>
  <si>
    <t>Indirect Costs</t>
  </si>
  <si>
    <t>Expenses with/out pass through grants</t>
  </si>
  <si>
    <t>Total Net Expenses</t>
  </si>
  <si>
    <t>Profit (Loss) by program</t>
  </si>
  <si>
    <t>P&amp;L by LOB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</si>
</sst>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</fonts>
  <fills count="1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1F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5FDFF"/>
        <bgColor indexed="64"/>
      </patternFill>
    </fill>
    <fill>
      <patternFill patternType="solid">
        <fgColor rgb="FFFCB6F2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3"/>
    <xf numFmtId="39" fontId="3" fillId="2" borderId="0" xfId="3" applyNumberFormat="1" applyFont="1" applyFill="1" applyAlignment="1">
      <alignment horizontal="center" vertical="center"/>
    </xf>
    <xf numFmtId="39" fontId="1" fillId="0" borderId="0" xfId="3" applyNumberFormat="1" applyAlignment="1">
      <alignment vertical="center"/>
    </xf>
    <xf numFmtId="39" fontId="3" fillId="3" borderId="0" xfId="3" applyNumberFormat="1" applyFont="1" applyFill="1" applyAlignment="1">
      <alignment horizontal="center" vertical="center"/>
    </xf>
    <xf numFmtId="39" fontId="3" fillId="3" borderId="1" xfId="3" applyNumberFormat="1" applyFont="1" applyFill="1" applyBorder="1" applyAlignment="1">
      <alignment horizontal="center" vertical="center"/>
    </xf>
    <xf numFmtId="39" fontId="3" fillId="4" borderId="1" xfId="3" applyNumberFormat="1" applyFont="1" applyFill="1" applyBorder="1" applyAlignment="1">
      <alignment horizontal="center" vertical="center" wrapText="1"/>
    </xf>
    <xf numFmtId="39" fontId="1" fillId="0" borderId="0" xfId="3" applyNumberFormat="1"/>
    <xf numFmtId="39" fontId="3" fillId="5" borderId="1" xfId="3" applyNumberFormat="1" applyFont="1" applyFill="1" applyBorder="1"/>
    <xf numFmtId="0" fontId="3" fillId="6" borderId="2" xfId="3" applyFont="1" applyFill="1" applyBorder="1" applyAlignment="1">
      <alignment horizontal="center" wrapText="1"/>
    </xf>
    <xf numFmtId="0" fontId="3" fillId="7" borderId="3" xfId="3" applyFont="1" applyFill="1" applyBorder="1" applyAlignment="1">
      <alignment horizontal="center" wrapText="1"/>
    </xf>
    <xf numFmtId="39" fontId="3" fillId="2" borderId="4" xfId="3" applyNumberFormat="1" applyFont="1" applyFill="1" applyBorder="1" applyAlignment="1">
      <alignment horizontal="center" vertical="center" wrapText="1"/>
    </xf>
    <xf numFmtId="39" fontId="3" fillId="0" borderId="4" xfId="3" applyNumberFormat="1" applyFont="1" applyBorder="1" applyAlignment="1">
      <alignment horizontal="center" vertical="center" wrapText="1"/>
    </xf>
    <xf numFmtId="39" fontId="3" fillId="3" borderId="4" xfId="3" applyNumberFormat="1" applyFont="1" applyFill="1" applyBorder="1" applyAlignment="1">
      <alignment horizontal="center" vertical="center" wrapText="1"/>
    </xf>
    <xf numFmtId="39" fontId="3" fillId="0" borderId="5" xfId="3" applyNumberFormat="1" applyFont="1" applyBorder="1" applyAlignment="1">
      <alignment horizontal="center" vertical="center" wrapText="1"/>
    </xf>
    <xf numFmtId="39" fontId="3" fillId="3" borderId="6" xfId="3" applyNumberFormat="1" applyFont="1" applyFill="1" applyBorder="1" applyAlignment="1">
      <alignment horizontal="center" vertical="center" wrapText="1"/>
    </xf>
    <xf numFmtId="39" fontId="3" fillId="0" borderId="6" xfId="3" applyNumberFormat="1" applyFont="1" applyBorder="1" applyAlignment="1">
      <alignment horizontal="center" vertical="center" wrapText="1"/>
    </xf>
    <xf numFmtId="39" fontId="3" fillId="4" borderId="6" xfId="3" applyNumberFormat="1" applyFont="1" applyFill="1" applyBorder="1" applyAlignment="1">
      <alignment horizontal="center" vertical="center" wrapText="1"/>
    </xf>
    <xf numFmtId="39" fontId="3" fillId="8" borderId="6" xfId="3" applyNumberFormat="1" applyFont="1" applyFill="1" applyBorder="1" applyAlignment="1">
      <alignment horizontal="center" vertical="center" wrapText="1"/>
    </xf>
    <xf numFmtId="39" fontId="3" fillId="9" borderId="6" xfId="3" applyNumberFormat="1" applyFont="1" applyFill="1" applyBorder="1" applyAlignment="1">
      <alignment horizontal="center" vertical="center" wrapText="1"/>
    </xf>
    <xf numFmtId="39" fontId="3" fillId="10" borderId="6" xfId="3" applyNumberFormat="1" applyFont="1" applyFill="1" applyBorder="1" applyAlignment="1">
      <alignment horizontal="center" vertical="center" wrapText="1"/>
    </xf>
    <xf numFmtId="0" fontId="4" fillId="0" borderId="0" xfId="3" applyFont="1"/>
    <xf numFmtId="0" fontId="4" fillId="0" borderId="0" xfId="3" applyFont="1" applyAlignment="1">
      <alignment horizontal="center"/>
    </xf>
    <xf numFmtId="0" fontId="3" fillId="0" borderId="0" xfId="3" applyFont="1" applyAlignment="1">
      <alignment horizontal="center" wrapText="1"/>
    </xf>
    <xf numFmtId="0" fontId="3" fillId="0" borderId="0" xfId="3" applyFont="1" applyAlignment="1">
      <alignment horizontal="left" wrapText="1"/>
    </xf>
    <xf numFmtId="43" fontId="0" fillId="0" borderId="0" xfId="1" applyFont="1"/>
    <xf numFmtId="164" fontId="3" fillId="11" borderId="0" xfId="4" applyNumberFormat="1" applyFont="1" applyFill="1" applyAlignment="1">
      <alignment horizontal="center" vertical="center"/>
    </xf>
    <xf numFmtId="43" fontId="1" fillId="0" borderId="0" xfId="3" applyNumberFormat="1"/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3" fillId="11" borderId="0" xfId="0" applyFont="1" applyFill="1" applyAlignment="1">
      <alignment horizontal="center" vertical="center"/>
    </xf>
    <xf numFmtId="0" fontId="3" fillId="0" borderId="0" xfId="3" applyFont="1"/>
    <xf numFmtId="0" fontId="1" fillId="0" borderId="0" xfId="3" applyAlignment="1">
      <alignment wrapText="1"/>
    </xf>
    <xf numFmtId="0" fontId="3" fillId="11" borderId="0" xfId="0" applyFont="1" applyFill="1" applyAlignment="1">
      <alignment horizontal="center" vertical="center" wrapText="1"/>
    </xf>
    <xf numFmtId="0" fontId="2" fillId="0" borderId="0" xfId="3" applyFont="1" applyAlignment="1">
      <alignment horizontal="center"/>
    </xf>
    <xf numFmtId="164" fontId="5" fillId="12" borderId="0" xfId="4" applyNumberFormat="1" applyFont="1" applyFill="1" applyAlignment="1">
      <alignment horizontal="center" vertical="center"/>
    </xf>
    <xf numFmtId="0" fontId="3" fillId="12" borderId="0" xfId="0" applyFont="1" applyFill="1" applyAlignment="1">
      <alignment horizontal="center" vertical="center" wrapText="1"/>
    </xf>
    <xf numFmtId="164" fontId="3" fillId="13" borderId="0" xfId="1" applyNumberFormat="1" applyFont="1" applyFill="1" applyAlignment="1">
      <alignment horizontal="center" vertical="center"/>
    </xf>
    <xf numFmtId="0" fontId="3" fillId="13" borderId="0" xfId="0" applyFont="1" applyFill="1" applyAlignment="1">
      <alignment horizontal="center" vertical="center"/>
    </xf>
    <xf numFmtId="43" fontId="1" fillId="14" borderId="0" xfId="3" applyNumberFormat="1" applyFill="1"/>
    <xf numFmtId="0" fontId="3" fillId="15" borderId="0" xfId="3" applyFont="1" applyFill="1"/>
    <xf numFmtId="44" fontId="3" fillId="15" borderId="0" xfId="5" applyFont="1" applyFill="1"/>
    <xf numFmtId="164" fontId="1" fillId="0" borderId="0" xfId="1" applyNumberFormat="1"/>
    <xf numFmtId="164" fontId="0" fillId="0" borderId="0" xfId="1" applyNumberFormat="1" applyFont="1"/>
    <xf numFmtId="164" fontId="0" fillId="0" borderId="0" xfId="1" applyNumberFormat="1" applyFont="1" applyFill="1"/>
    <xf numFmtId="164" fontId="3" fillId="12" borderId="0" xfId="4" applyNumberFormat="1" applyFont="1" applyFill="1" applyAlignment="1">
      <alignment horizontal="center" vertical="center"/>
    </xf>
    <xf numFmtId="43" fontId="0" fillId="0" borderId="0" xfId="4" applyFont="1" applyFill="1"/>
    <xf numFmtId="0" fontId="3" fillId="12" borderId="0" xfId="3" applyFont="1" applyFill="1" applyAlignment="1">
      <alignment horizontal="center" vertical="center"/>
    </xf>
    <xf numFmtId="164" fontId="1" fillId="0" borderId="0" xfId="1" applyNumberFormat="1" applyFill="1"/>
    <xf numFmtId="44" fontId="3" fillId="15" borderId="0" xfId="2" applyFont="1" applyFill="1"/>
    <xf numFmtId="0" fontId="3" fillId="4" borderId="0" xfId="3" applyFont="1" applyFill="1"/>
    <xf numFmtId="44" fontId="3" fillId="4" borderId="0" xfId="3" applyNumberFormat="1" applyFont="1" applyFill="1"/>
    <xf numFmtId="0" fontId="1" fillId="0" borderId="0" xfId="4" applyNumberFormat="1" applyFont="1"/>
    <xf numFmtId="43" fontId="1" fillId="0" borderId="0" xfId="4" applyFont="1"/>
    <xf numFmtId="164" fontId="1" fillId="0" borderId="0" xfId="3" applyNumberFormat="1"/>
    <xf numFmtId="6" fontId="1" fillId="0" borderId="0" xfId="3" applyNumberFormat="1"/>
    <xf numFmtId="43" fontId="1" fillId="0" borderId="0" xfId="1"/>
    <xf numFmtId="164" fontId="1" fillId="16" borderId="0" xfId="1" applyNumberFormat="1" applyFill="1"/>
    <xf numFmtId="164" fontId="1" fillId="5" borderId="0" xfId="1" applyNumberFormat="1" applyFill="1"/>
    <xf numFmtId="44" fontId="1" fillId="0" borderId="0" xfId="3" applyNumberFormat="1"/>
    <xf numFmtId="2" fontId="1" fillId="0" borderId="0" xfId="3" applyNumberFormat="1"/>
    <xf numFmtId="44" fontId="1" fillId="0" borderId="0" xfId="2"/>
    <xf numFmtId="39" fontId="1" fillId="0" borderId="0" xfId="0" applyNumberFormat="1" applyFont="1"/>
    <xf numFmtId="44" fontId="1" fillId="0" borderId="0" xfId="2" applyFill="1"/>
    <xf numFmtId="44" fontId="3" fillId="4" borderId="0" xfId="2" applyFont="1" applyFill="1"/>
    <xf numFmtId="0" fontId="3" fillId="17" borderId="7" xfId="0" applyFont="1" applyFill="1" applyBorder="1" applyAlignment="1">
      <alignment horizontal="center"/>
    </xf>
    <xf numFmtId="39" fontId="3" fillId="17" borderId="8" xfId="0" applyNumberFormat="1" applyFont="1" applyFill="1" applyBorder="1" applyAlignment="1">
      <alignment horizontal="center"/>
    </xf>
    <xf numFmtId="39" fontId="3" fillId="17" borderId="9" xfId="0" applyNumberFormat="1" applyFont="1" applyFill="1" applyBorder="1" applyAlignment="1">
      <alignment horizontal="center"/>
    </xf>
    <xf numFmtId="39" fontId="3" fillId="17" borderId="10" xfId="0" applyNumberFormat="1" applyFont="1" applyFill="1" applyBorder="1" applyAlignment="1">
      <alignment horizontal="center"/>
    </xf>
    <xf numFmtId="39" fontId="3" fillId="0" borderId="0" xfId="0" applyNumberFormat="1" applyFont="1"/>
    <xf numFmtId="39" fontId="3" fillId="17" borderId="7" xfId="0" applyNumberFormat="1" applyFont="1" applyFill="1" applyBorder="1"/>
  </cellXfs>
  <cellStyles count="6">
    <cellStyle name="Comma" xfId="1" builtinId="3"/>
    <cellStyle name="Comma 2" xfId="4" xr:uid="{0713DBA4-5E29-487A-A325-CD9B7FD8F00C}"/>
    <cellStyle name="Currency" xfId="2" builtinId="4"/>
    <cellStyle name="Currency 2" xfId="5" xr:uid="{CFC82757-5470-454F-B7F2-9ED2D1D05923}"/>
    <cellStyle name="Normal" xfId="0" builtinId="0"/>
    <cellStyle name="Normal 2" xfId="3" xr:uid="{7E0717E3-2274-4777-AB6D-5616C6D6A0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microsoft.com/office/2017/10/relationships/person" Target="persons/perso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wwvt-my.sharepoint.com/personal/ekarle_nwwvt_org/Documents/bUDGET/2022/Budget%20by%20Program%20FY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%20Employee%20Compens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AFT Operating Budget FY 2022"/>
      <sheetName val="Staffing FTEs"/>
      <sheetName val="HOME Repair"/>
      <sheetName val="HEAT Squad"/>
      <sheetName val="Lending"/>
      <sheetName val="Homeownership"/>
      <sheetName val="CB&amp;E"/>
      <sheetName val="Rental Prop Mgmt"/>
      <sheetName val="Admin"/>
    </sheetNames>
    <sheetDataSet>
      <sheetData sheetId="0"/>
      <sheetData sheetId="1"/>
      <sheetData sheetId="2">
        <row r="4">
          <cell r="G4">
            <v>159849</v>
          </cell>
        </row>
        <row r="5">
          <cell r="G5">
            <v>0</v>
          </cell>
        </row>
        <row r="61">
          <cell r="G61">
            <v>197790.58837632934</v>
          </cell>
        </row>
        <row r="70">
          <cell r="G70">
            <v>1500</v>
          </cell>
        </row>
      </sheetData>
      <sheetData sheetId="3">
        <row r="62">
          <cell r="G62">
            <v>387212.12509874755</v>
          </cell>
        </row>
      </sheetData>
      <sheetData sheetId="4"/>
      <sheetData sheetId="5"/>
      <sheetData sheetId="6"/>
      <sheetData sheetId="7"/>
      <sheetData sheetId="8">
        <row r="4">
          <cell r="E4">
            <v>19560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 2021"/>
      <sheetName val="Sheet1"/>
    </sheetNames>
    <sheetDataSet>
      <sheetData sheetId="0">
        <row r="26">
          <cell r="AJ26">
            <v>197790.58837632934</v>
          </cell>
          <cell r="AL26">
            <v>8210.2833144230772</v>
          </cell>
          <cell r="AN26">
            <v>0</v>
          </cell>
          <cell r="AP26">
            <v>259128.73327890382</v>
          </cell>
          <cell r="AT26">
            <v>329066.40956902882</v>
          </cell>
          <cell r="AV26">
            <v>45445.002177884613</v>
          </cell>
          <cell r="AX26">
            <v>443006.00357610092</v>
          </cell>
        </row>
      </sheetData>
      <sheetData sheetId="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Elizabeth Karle" id="{BE6B33BB-4DD0-43B6-BAC2-8BB58B66949B}" userId="S::ekarle@nwwvt.org::bbad85d6-ef8c-4aca-83b3-410a19f323f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2" dT="2021-10-01T17:41:39.31" personId="{BE6B33BB-4DD0-43B6-BAC2-8BB58B66949B}" id="{A8147350-3589-4305-A566-F40B4860A9EE}">
    <text>HEAT Squad has congressional earmarks suggested by Leahy/Sanders of $500K each</text>
  </threadedComment>
  <threadedComment ref="C107" dT="2021-10-01T17:05:18.70" personId="{BE6B33BB-4DD0-43B6-BAC2-8BB58B66949B}" id="{8F4BB92A-3E5A-4BDD-BCD7-CA09B104DA4A}">
    <text>Admin Costs can be up to 15% of VHIP Grant Funds, Grants to Landlords 15 units x $30K</text>
  </threadedComment>
  <threadedComment ref="E107" dT="2021-10-28T16:01:59.42" personId="{BE6B33BB-4DD0-43B6-BAC2-8BB58B66949B}" id="{D0671C3E-51FE-479A-92FD-683487CFAB80}">
    <text>98,000 from CEDF amendment current grant, $20K from VLITE 2021 amendment</text>
  </threadedComment>
  <threadedComment ref="G107" dT="2021-10-01T19:02:40.85" personId="{BE6B33BB-4DD0-43B6-BAC2-8BB58B66949B}" id="{74B76AC3-88D1-42FA-9086-FBC319D6D029}">
    <text>Pending info from Housing Stabilization Grant Spending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583F3-D325-4030-B0BE-EDD7F8E07096}">
  <dimension ref="A1:W119"/>
  <sheetViews>
    <sheetView tabSelected="1" zoomScale="90" zoomScaleNormal="90" workbookViewId="0">
      <selection activeCell="M10" sqref="M10"/>
    </sheetView>
  </sheetViews>
  <sheetFormatPr defaultColWidth="8.85546875" defaultRowHeight="15" x14ac:dyDescent="0.25"/>
  <cols>
    <col min="1" max="1" width="8" style="1" bestFit="1" customWidth="1"/>
    <col min="2" max="2" width="50.28515625" style="1" bestFit="1" customWidth="1"/>
    <col min="3" max="3" width="14.5703125" style="1" bestFit="1" customWidth="1"/>
    <col min="4" max="4" width="1.28515625" style="1" customWidth="1"/>
    <col min="5" max="5" width="15.42578125" style="1" bestFit="1" customWidth="1"/>
    <col min="6" max="6" width="0.7109375" style="1" customWidth="1"/>
    <col min="7" max="7" width="14.5703125" style="1" bestFit="1" customWidth="1"/>
    <col min="8" max="8" width="1.28515625" style="1" customWidth="1"/>
    <col min="9" max="9" width="13.85546875" style="1" bestFit="1" customWidth="1"/>
    <col min="10" max="10" width="1.28515625" style="1" customWidth="1"/>
    <col min="11" max="11" width="16.28515625" style="1" customWidth="1"/>
    <col min="12" max="12" width="1" style="1" customWidth="1"/>
    <col min="13" max="13" width="16.5703125" style="1" customWidth="1"/>
    <col min="14" max="14" width="0.7109375" style="1" customWidth="1"/>
    <col min="15" max="15" width="13.42578125" style="1" bestFit="1" customWidth="1"/>
    <col min="16" max="16" width="0.7109375" style="1" customWidth="1"/>
    <col min="17" max="17" width="15.28515625" style="1" bestFit="1" customWidth="1"/>
    <col min="18" max="18" width="0.7109375" style="1" customWidth="1"/>
    <col min="19" max="19" width="16.140625" style="1" bestFit="1" customWidth="1"/>
    <col min="20" max="20" width="8.85546875" style="1"/>
    <col min="21" max="21" width="46.7109375" style="1" bestFit="1" customWidth="1"/>
    <col min="22" max="22" width="54" style="1" customWidth="1"/>
    <col min="23" max="23" width="20.140625" style="1" bestFit="1" customWidth="1"/>
    <col min="24" max="16384" width="8.85546875" style="1"/>
  </cols>
  <sheetData>
    <row r="1" spans="1:23" ht="27.6" customHeight="1" thickBot="1" x14ac:dyDescent="0.3">
      <c r="C1" s="2" t="s">
        <v>0</v>
      </c>
      <c r="D1" s="2"/>
      <c r="E1" s="2"/>
      <c r="F1" s="3"/>
      <c r="G1" s="4" t="s">
        <v>1</v>
      </c>
      <c r="H1" s="4"/>
      <c r="I1" s="5"/>
      <c r="J1" s="3"/>
      <c r="K1" s="6" t="s">
        <v>2</v>
      </c>
      <c r="L1" s="6"/>
      <c r="M1" s="6"/>
      <c r="N1" s="7"/>
      <c r="O1" s="8"/>
      <c r="P1" s="8"/>
      <c r="Q1" s="7"/>
      <c r="R1" s="7"/>
      <c r="S1" s="7"/>
    </row>
    <row r="2" spans="1:23" ht="58.15" customHeight="1" thickBot="1" x14ac:dyDescent="0.3">
      <c r="A2" s="9" t="s">
        <v>3</v>
      </c>
      <c r="B2" s="10" t="s">
        <v>4</v>
      </c>
      <c r="C2" s="11" t="s">
        <v>5</v>
      </c>
      <c r="D2" s="12"/>
      <c r="E2" s="11" t="s">
        <v>6</v>
      </c>
      <c r="F2" s="12"/>
      <c r="G2" s="13" t="s">
        <v>7</v>
      </c>
      <c r="H2" s="14"/>
      <c r="I2" s="15" t="s">
        <v>8</v>
      </c>
      <c r="J2" s="16"/>
      <c r="K2" s="17" t="s">
        <v>9</v>
      </c>
      <c r="L2" s="16"/>
      <c r="M2" s="17" t="s">
        <v>10</v>
      </c>
      <c r="N2" s="16"/>
      <c r="O2" s="18" t="s">
        <v>11</v>
      </c>
      <c r="P2" s="16"/>
      <c r="Q2" s="19" t="s">
        <v>12</v>
      </c>
      <c r="R2" s="16"/>
      <c r="S2" s="20" t="s">
        <v>13</v>
      </c>
      <c r="U2" s="21" t="s">
        <v>14</v>
      </c>
      <c r="V2" s="21" t="s">
        <v>15</v>
      </c>
      <c r="W2" s="22" t="s">
        <v>16</v>
      </c>
    </row>
    <row r="3" spans="1:23" ht="30" x14ac:dyDescent="0.25">
      <c r="A3" s="23" t="s">
        <v>17</v>
      </c>
      <c r="B3" s="24" t="s">
        <v>18</v>
      </c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23" ht="30" x14ac:dyDescent="0.25">
      <c r="A4" s="1">
        <v>1001</v>
      </c>
      <c r="B4" s="1" t="s">
        <v>19</v>
      </c>
      <c r="C4" s="26">
        <f>'[1]HOME Repair'!G4</f>
        <v>159849</v>
      </c>
      <c r="G4" s="26">
        <v>54113</v>
      </c>
      <c r="H4" s="25"/>
      <c r="I4" s="26">
        <v>65065</v>
      </c>
      <c r="J4" s="25"/>
      <c r="K4" s="25"/>
      <c r="L4" s="25"/>
      <c r="M4" s="25"/>
      <c r="N4" s="25"/>
      <c r="O4" s="25"/>
      <c r="P4" s="25"/>
      <c r="Q4" s="26">
        <f>[1]Admin!E4</f>
        <v>19560</v>
      </c>
      <c r="S4" s="27">
        <f t="shared" ref="S4:S19" si="0">SUM(C4:Q4)</f>
        <v>298587</v>
      </c>
      <c r="U4" s="28" t="s">
        <v>20</v>
      </c>
      <c r="V4" s="29" t="s">
        <v>21</v>
      </c>
      <c r="W4" s="30">
        <v>3</v>
      </c>
    </row>
    <row r="5" spans="1:23" ht="30" x14ac:dyDescent="0.25">
      <c r="A5" s="1">
        <v>2121</v>
      </c>
      <c r="B5" s="31" t="s">
        <v>22</v>
      </c>
      <c r="C5" s="27">
        <f>'[1]HOME Repair'!G5</f>
        <v>0</v>
      </c>
      <c r="G5" s="26">
        <f>73800+22027</f>
        <v>95827</v>
      </c>
      <c r="H5" s="25"/>
      <c r="I5" s="25"/>
      <c r="J5" s="25"/>
      <c r="K5" s="25"/>
      <c r="L5" s="25"/>
      <c r="M5" s="25"/>
      <c r="N5" s="25"/>
      <c r="O5" s="25"/>
      <c r="P5" s="25"/>
      <c r="Q5" s="25"/>
      <c r="S5" s="27">
        <f t="shared" si="0"/>
        <v>95827</v>
      </c>
      <c r="U5" s="32" t="s">
        <v>23</v>
      </c>
      <c r="W5" s="33">
        <v>3</v>
      </c>
    </row>
    <row r="6" spans="1:23" ht="30" x14ac:dyDescent="0.25">
      <c r="A6" s="34" t="s">
        <v>24</v>
      </c>
      <c r="B6" s="31" t="s">
        <v>25</v>
      </c>
      <c r="C6" s="35">
        <v>500000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S6" s="27">
        <f t="shared" si="0"/>
        <v>500000</v>
      </c>
      <c r="U6" s="29" t="s">
        <v>26</v>
      </c>
      <c r="V6" s="29" t="s">
        <v>27</v>
      </c>
      <c r="W6" s="36">
        <v>2</v>
      </c>
    </row>
    <row r="7" spans="1:23" x14ac:dyDescent="0.25">
      <c r="A7" s="1">
        <v>1060</v>
      </c>
      <c r="B7" s="1" t="s">
        <v>28</v>
      </c>
      <c r="C7" s="27">
        <f>'[1]HOME Repair'!G7</f>
        <v>0</v>
      </c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S7" s="27">
        <f t="shared" si="0"/>
        <v>0</v>
      </c>
    </row>
    <row r="8" spans="1:23" x14ac:dyDescent="0.25">
      <c r="A8" s="1">
        <v>1400</v>
      </c>
      <c r="B8" s="1" t="s">
        <v>29</v>
      </c>
      <c r="C8" s="27">
        <f>'[1]HOME Repair'!G8</f>
        <v>0</v>
      </c>
      <c r="G8" s="25"/>
      <c r="H8" s="25"/>
      <c r="I8" s="26">
        <v>15000</v>
      </c>
      <c r="J8" s="25"/>
      <c r="K8" s="25"/>
      <c r="L8" s="25"/>
      <c r="M8" s="25"/>
      <c r="N8" s="25"/>
      <c r="O8" s="25"/>
      <c r="P8" s="25"/>
      <c r="Q8" s="25"/>
      <c r="S8" s="27">
        <f t="shared" si="0"/>
        <v>15000</v>
      </c>
      <c r="U8" t="s">
        <v>30</v>
      </c>
      <c r="V8" s="1" t="s">
        <v>31</v>
      </c>
      <c r="W8" s="33">
        <v>3</v>
      </c>
    </row>
    <row r="9" spans="1:23" ht="35.25" customHeight="1" x14ac:dyDescent="0.25">
      <c r="A9" s="34" t="s">
        <v>24</v>
      </c>
      <c r="B9" s="31" t="s">
        <v>32</v>
      </c>
      <c r="C9" s="27"/>
      <c r="E9" s="35">
        <f>500000*0.75</f>
        <v>375000</v>
      </c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S9" s="27">
        <f t="shared" si="0"/>
        <v>375000</v>
      </c>
      <c r="U9" s="29" t="s">
        <v>33</v>
      </c>
      <c r="V9" s="29" t="s">
        <v>34</v>
      </c>
      <c r="W9" s="36">
        <v>2</v>
      </c>
    </row>
    <row r="10" spans="1:23" ht="45" x14ac:dyDescent="0.25">
      <c r="A10" s="1">
        <v>5000</v>
      </c>
      <c r="B10" s="31" t="s">
        <v>35</v>
      </c>
      <c r="C10" s="27">
        <f>'[1]HOME Repair'!G9</f>
        <v>0</v>
      </c>
      <c r="E10" s="26">
        <f>108000</f>
        <v>108000</v>
      </c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S10" s="27">
        <f t="shared" si="0"/>
        <v>108000</v>
      </c>
      <c r="U10" s="32" t="s">
        <v>36</v>
      </c>
      <c r="V10" s="1" t="s">
        <v>37</v>
      </c>
      <c r="W10" s="33">
        <v>3</v>
      </c>
    </row>
    <row r="11" spans="1:23" x14ac:dyDescent="0.25">
      <c r="A11" s="1">
        <v>5010</v>
      </c>
      <c r="B11" s="31" t="s">
        <v>38</v>
      </c>
      <c r="C11" s="27">
        <f>'[1]HOME Repair'!G10</f>
        <v>0</v>
      </c>
      <c r="E11" s="26">
        <v>10000</v>
      </c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S11" s="27">
        <f t="shared" si="0"/>
        <v>10000</v>
      </c>
      <c r="U11" s="1" t="s">
        <v>39</v>
      </c>
      <c r="V11" t="s">
        <v>40</v>
      </c>
      <c r="W11" s="33">
        <v>3</v>
      </c>
    </row>
    <row r="12" spans="1:23" x14ac:dyDescent="0.25">
      <c r="A12" s="1">
        <v>1020</v>
      </c>
      <c r="B12" s="31" t="s">
        <v>41</v>
      </c>
      <c r="C12" s="27">
        <f>'[1]HOME Repair'!G11</f>
        <v>0</v>
      </c>
      <c r="E12" s="25"/>
      <c r="G12" s="25"/>
      <c r="H12" s="25"/>
      <c r="I12" s="26">
        <v>40000</v>
      </c>
      <c r="J12" s="25"/>
      <c r="K12" s="25"/>
      <c r="L12" s="25"/>
      <c r="M12" s="25"/>
      <c r="N12" s="25"/>
      <c r="O12" s="25"/>
      <c r="P12" s="25"/>
      <c r="Q12" s="25"/>
      <c r="S12" s="27">
        <f t="shared" si="0"/>
        <v>40000</v>
      </c>
      <c r="U12" s="1" t="s">
        <v>42</v>
      </c>
      <c r="V12" s="1" t="s">
        <v>43</v>
      </c>
      <c r="W12" s="33">
        <v>3</v>
      </c>
    </row>
    <row r="13" spans="1:23" x14ac:dyDescent="0.25">
      <c r="A13" s="1">
        <v>1085</v>
      </c>
      <c r="B13" s="1" t="s">
        <v>44</v>
      </c>
      <c r="C13" s="27">
        <f>'[1]HOME Repair'!G13</f>
        <v>0</v>
      </c>
      <c r="E13" s="26">
        <v>100000</v>
      </c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S13" s="27">
        <f t="shared" si="0"/>
        <v>100000</v>
      </c>
      <c r="U13" t="s">
        <v>45</v>
      </c>
      <c r="V13" t="s">
        <v>46</v>
      </c>
      <c r="W13" s="30">
        <v>3</v>
      </c>
    </row>
    <row r="14" spans="1:23" ht="30" x14ac:dyDescent="0.25">
      <c r="A14" s="1">
        <v>1925</v>
      </c>
      <c r="B14" s="31" t="s">
        <v>47</v>
      </c>
      <c r="C14" s="27">
        <f>'[1]HOME Repair'!G14</f>
        <v>0</v>
      </c>
      <c r="E14" s="26">
        <f>125000+34000</f>
        <v>159000</v>
      </c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S14" s="27">
        <f t="shared" si="0"/>
        <v>159000</v>
      </c>
      <c r="U14" s="32" t="s">
        <v>48</v>
      </c>
      <c r="V14" t="s">
        <v>49</v>
      </c>
      <c r="W14" s="30">
        <v>3</v>
      </c>
    </row>
    <row r="15" spans="1:23" x14ac:dyDescent="0.25">
      <c r="A15" s="1">
        <v>1320</v>
      </c>
      <c r="B15" s="1" t="s">
        <v>50</v>
      </c>
      <c r="C15" s="27">
        <f>'[1]HOME Repair'!G15</f>
        <v>0</v>
      </c>
      <c r="E15" s="25"/>
      <c r="G15" s="26">
        <v>12500</v>
      </c>
      <c r="H15" s="25"/>
      <c r="I15" s="25"/>
      <c r="J15" s="25"/>
      <c r="K15" s="25"/>
      <c r="L15" s="25"/>
      <c r="M15" s="25"/>
      <c r="N15" s="25"/>
      <c r="O15" s="25"/>
      <c r="P15" s="25"/>
      <c r="Q15" s="25"/>
      <c r="S15" s="27">
        <f t="shared" si="0"/>
        <v>12500</v>
      </c>
      <c r="U15" s="1" t="s">
        <v>51</v>
      </c>
      <c r="W15" s="30">
        <v>3</v>
      </c>
    </row>
    <row r="16" spans="1:23" ht="30" x14ac:dyDescent="0.25">
      <c r="A16" s="1">
        <v>1009</v>
      </c>
      <c r="B16" s="31" t="s">
        <v>52</v>
      </c>
      <c r="C16" s="26">
        <v>40000</v>
      </c>
      <c r="E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S16" s="27">
        <f t="shared" si="0"/>
        <v>40000</v>
      </c>
      <c r="U16" s="32" t="s">
        <v>53</v>
      </c>
      <c r="W16" s="30">
        <v>3</v>
      </c>
    </row>
    <row r="17" spans="1:23" ht="30" x14ac:dyDescent="0.25">
      <c r="A17" s="1">
        <v>1095</v>
      </c>
      <c r="B17" s="1" t="s">
        <v>54</v>
      </c>
      <c r="C17" s="27">
        <f>'[1]HOME Repair'!G18</f>
        <v>0</v>
      </c>
      <c r="E17" s="37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S17" s="27">
        <f t="shared" si="0"/>
        <v>0</v>
      </c>
      <c r="U17" s="32" t="s">
        <v>55</v>
      </c>
      <c r="V17" s="29" t="s">
        <v>56</v>
      </c>
      <c r="W17" s="38">
        <v>1</v>
      </c>
    </row>
    <row r="18" spans="1:23" ht="30" x14ac:dyDescent="0.25">
      <c r="A18" s="1">
        <v>1200</v>
      </c>
      <c r="B18" s="1" t="s">
        <v>57</v>
      </c>
      <c r="C18" s="27">
        <f>'[1]HOME Repair'!G19</f>
        <v>0</v>
      </c>
      <c r="E18" s="25"/>
      <c r="G18" s="26">
        <v>30499.34</v>
      </c>
      <c r="H18" s="25"/>
      <c r="J18" s="25"/>
      <c r="K18" s="25"/>
      <c r="L18" s="25"/>
      <c r="M18" s="25"/>
      <c r="N18" s="25"/>
      <c r="O18" s="25"/>
      <c r="P18" s="25"/>
      <c r="Q18" s="25"/>
      <c r="S18" s="27">
        <f t="shared" si="0"/>
        <v>30499.34</v>
      </c>
      <c r="U18" t="s">
        <v>58</v>
      </c>
      <c r="V18" s="29" t="s">
        <v>59</v>
      </c>
      <c r="W18" s="30">
        <v>3</v>
      </c>
    </row>
    <row r="19" spans="1:23" x14ac:dyDescent="0.25">
      <c r="A19" s="1">
        <v>1240</v>
      </c>
      <c r="B19" s="1" t="s">
        <v>60</v>
      </c>
      <c r="C19" s="27">
        <f>'[1]HOME Repair'!G20</f>
        <v>0</v>
      </c>
      <c r="E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>
        <v>40000</v>
      </c>
      <c r="S19" s="27">
        <f t="shared" si="0"/>
        <v>40000</v>
      </c>
    </row>
    <row r="20" spans="1:23" x14ac:dyDescent="0.25">
      <c r="A20" s="1">
        <v>1240</v>
      </c>
      <c r="B20" s="1" t="s">
        <v>61</v>
      </c>
      <c r="C20" s="39"/>
      <c r="E20" s="39"/>
      <c r="G20" s="39"/>
      <c r="H20" s="25"/>
      <c r="I20" s="39"/>
      <c r="J20" s="25"/>
      <c r="K20" s="39"/>
      <c r="L20" s="25"/>
      <c r="M20" s="39"/>
      <c r="N20" s="25"/>
      <c r="O20" s="39"/>
      <c r="P20" s="25"/>
      <c r="Q20" s="39">
        <v>175000</v>
      </c>
      <c r="S20" s="27">
        <f>SUM(C20:Q20)</f>
        <v>175000</v>
      </c>
      <c r="U20" s="1" t="s">
        <v>62</v>
      </c>
      <c r="V20" s="1" t="s">
        <v>63</v>
      </c>
    </row>
    <row r="21" spans="1:23" x14ac:dyDescent="0.25">
      <c r="A21" s="40"/>
      <c r="B21" s="40" t="s">
        <v>64</v>
      </c>
      <c r="C21" s="41">
        <f>SUM(C4:C20)</f>
        <v>699849</v>
      </c>
      <c r="D21" s="40"/>
      <c r="E21" s="41">
        <f t="shared" ref="E21:Q21" si="1">SUM(E4:E20)</f>
        <v>752000</v>
      </c>
      <c r="F21" s="41">
        <f t="shared" si="1"/>
        <v>0</v>
      </c>
      <c r="G21" s="41">
        <f t="shared" si="1"/>
        <v>192939.34</v>
      </c>
      <c r="H21" s="41">
        <f t="shared" si="1"/>
        <v>0</v>
      </c>
      <c r="I21" s="41">
        <f t="shared" si="1"/>
        <v>120065</v>
      </c>
      <c r="J21" s="41">
        <f t="shared" si="1"/>
        <v>0</v>
      </c>
      <c r="K21" s="41">
        <f t="shared" si="1"/>
        <v>0</v>
      </c>
      <c r="L21" s="41">
        <f t="shared" si="1"/>
        <v>0</v>
      </c>
      <c r="M21" s="41">
        <f t="shared" si="1"/>
        <v>0</v>
      </c>
      <c r="N21" s="41">
        <f t="shared" si="1"/>
        <v>0</v>
      </c>
      <c r="O21" s="41">
        <f t="shared" si="1"/>
        <v>0</v>
      </c>
      <c r="P21" s="41">
        <f t="shared" si="1"/>
        <v>0</v>
      </c>
      <c r="Q21" s="41">
        <f t="shared" si="1"/>
        <v>234560</v>
      </c>
      <c r="R21" s="41"/>
      <c r="S21" s="41">
        <f>SUM(C21:Q21)</f>
        <v>1999413.34</v>
      </c>
    </row>
    <row r="22" spans="1:23" x14ac:dyDescent="0.25">
      <c r="A22" s="31"/>
      <c r="B22" s="31" t="s">
        <v>65</v>
      </c>
      <c r="C22" s="27"/>
    </row>
    <row r="23" spans="1:23" x14ac:dyDescent="0.25">
      <c r="A23" s="1">
        <v>42010</v>
      </c>
      <c r="B23" s="1" t="s">
        <v>66</v>
      </c>
      <c r="C23" s="27">
        <f>'[1]HOME Repair'!G24</f>
        <v>0</v>
      </c>
      <c r="I23" s="42">
        <f>(150000*2*0.015)+(145000*0.015)+(18374*0.01*3)</f>
        <v>7226.22</v>
      </c>
      <c r="S23" s="27">
        <f t="shared" ref="S23:S50" si="2">SUM(C23:Q23)</f>
        <v>7226.22</v>
      </c>
      <c r="U23" t="s">
        <v>67</v>
      </c>
    </row>
    <row r="24" spans="1:23" x14ac:dyDescent="0.25">
      <c r="A24" s="1">
        <v>42060</v>
      </c>
      <c r="B24" s="1" t="s">
        <v>68</v>
      </c>
      <c r="C24" s="27">
        <f>'[1]HOME Repair'!G25</f>
        <v>0</v>
      </c>
      <c r="I24" s="42">
        <f>12*12*834</f>
        <v>120096</v>
      </c>
      <c r="S24" s="27">
        <f t="shared" si="2"/>
        <v>120096</v>
      </c>
      <c r="U24" t="s">
        <v>69</v>
      </c>
      <c r="V24" t="s">
        <v>70</v>
      </c>
    </row>
    <row r="25" spans="1:23" x14ac:dyDescent="0.25">
      <c r="A25" s="1">
        <v>42070</v>
      </c>
      <c r="B25" s="1" t="s">
        <v>71</v>
      </c>
      <c r="C25" s="27">
        <f>'[1]HOME Repair'!G26</f>
        <v>0</v>
      </c>
      <c r="I25" s="42">
        <f>6*12*29</f>
        <v>2088</v>
      </c>
      <c r="S25" s="27">
        <f t="shared" si="2"/>
        <v>2088</v>
      </c>
      <c r="U25" t="s">
        <v>72</v>
      </c>
      <c r="V25"/>
    </row>
    <row r="26" spans="1:23" x14ac:dyDescent="0.25">
      <c r="A26" s="1">
        <v>42090</v>
      </c>
      <c r="B26" s="1" t="s">
        <v>73</v>
      </c>
      <c r="C26" s="27">
        <f>'[1]HOME Repair'!G27</f>
        <v>0</v>
      </c>
      <c r="S26" s="27">
        <f t="shared" si="2"/>
        <v>0</v>
      </c>
    </row>
    <row r="27" spans="1:23" x14ac:dyDescent="0.25">
      <c r="A27" s="1">
        <v>42095</v>
      </c>
      <c r="B27" s="1" t="s">
        <v>74</v>
      </c>
      <c r="C27" s="27">
        <f>'[1]HOME Repair'!G28</f>
        <v>0</v>
      </c>
      <c r="I27" s="42">
        <f>36*250</f>
        <v>9000</v>
      </c>
      <c r="S27" s="27">
        <f t="shared" si="2"/>
        <v>9000</v>
      </c>
      <c r="U27" s="1" t="s">
        <v>75</v>
      </c>
    </row>
    <row r="28" spans="1:23" x14ac:dyDescent="0.25">
      <c r="A28" s="1">
        <v>42100</v>
      </c>
      <c r="B28" s="1" t="s">
        <v>76</v>
      </c>
      <c r="C28" s="27">
        <f>'[1]HOME Repair'!G29</f>
        <v>0</v>
      </c>
      <c r="S28" s="27">
        <f t="shared" si="2"/>
        <v>0</v>
      </c>
    </row>
    <row r="29" spans="1:23" x14ac:dyDescent="0.25">
      <c r="A29" s="1">
        <v>42500</v>
      </c>
      <c r="B29" s="1" t="s">
        <v>77</v>
      </c>
      <c r="C29" s="27">
        <f>'[1]HOME Repair'!G30</f>
        <v>0</v>
      </c>
      <c r="E29" s="42">
        <v>225000</v>
      </c>
      <c r="S29" s="27">
        <f t="shared" si="2"/>
        <v>225000</v>
      </c>
      <c r="U29" t="s">
        <v>78</v>
      </c>
    </row>
    <row r="30" spans="1:23" x14ac:dyDescent="0.25">
      <c r="A30" s="1">
        <v>42600</v>
      </c>
      <c r="B30" s="1" t="s">
        <v>79</v>
      </c>
      <c r="C30" s="27">
        <f>'[1]HOME Repair'!G31</f>
        <v>0</v>
      </c>
      <c r="G30" s="43">
        <f>((89/7)*(74*12))+((39/7)*(99*12))</f>
        <v>17909.142857142855</v>
      </c>
      <c r="S30" s="27">
        <f t="shared" si="2"/>
        <v>17909.142857142855</v>
      </c>
      <c r="U30" t="s">
        <v>80</v>
      </c>
      <c r="V30" s="1" t="s">
        <v>81</v>
      </c>
    </row>
    <row r="31" spans="1:23" ht="30" x14ac:dyDescent="0.25">
      <c r="A31" s="1">
        <v>42700</v>
      </c>
      <c r="B31" s="1" t="s">
        <v>82</v>
      </c>
      <c r="C31" s="27">
        <f>'[1]HOME Repair'!G32</f>
        <v>0</v>
      </c>
      <c r="E31" s="42">
        <v>40500</v>
      </c>
      <c r="S31" s="27">
        <f t="shared" si="2"/>
        <v>40500</v>
      </c>
      <c r="U31" s="29" t="s">
        <v>83</v>
      </c>
    </row>
    <row r="32" spans="1:23" ht="30" x14ac:dyDescent="0.25">
      <c r="A32" s="1">
        <v>42710</v>
      </c>
      <c r="B32" s="1" t="s">
        <v>84</v>
      </c>
      <c r="C32" s="27">
        <f>'[1]HOME Repair'!G33</f>
        <v>0</v>
      </c>
      <c r="E32" s="42">
        <v>28291.67</v>
      </c>
      <c r="S32" s="27">
        <f t="shared" si="2"/>
        <v>28291.67</v>
      </c>
      <c r="U32" s="29" t="s">
        <v>85</v>
      </c>
    </row>
    <row r="33" spans="1:23" ht="60" x14ac:dyDescent="0.25">
      <c r="A33" s="1">
        <v>42720</v>
      </c>
      <c r="B33" s="1" t="s">
        <v>86</v>
      </c>
      <c r="C33" s="27">
        <f>'[1]HOME Repair'!G34</f>
        <v>0</v>
      </c>
      <c r="E33" s="43">
        <f>((350*0.4)*0.4)*500</f>
        <v>28000</v>
      </c>
      <c r="S33" s="27">
        <f t="shared" si="2"/>
        <v>28000</v>
      </c>
      <c r="U33" s="29" t="s">
        <v>87</v>
      </c>
    </row>
    <row r="34" spans="1:23" x14ac:dyDescent="0.25">
      <c r="A34" s="1">
        <v>42730</v>
      </c>
      <c r="B34" s="1" t="s">
        <v>88</v>
      </c>
      <c r="C34" s="27">
        <f>'[1]HOME Repair'!G35</f>
        <v>0</v>
      </c>
      <c r="E34" s="44">
        <f>200*((120/3)*3.5)</f>
        <v>28000</v>
      </c>
      <c r="S34" s="27">
        <f t="shared" si="2"/>
        <v>28000</v>
      </c>
      <c r="U34" s="29" t="s">
        <v>89</v>
      </c>
    </row>
    <row r="35" spans="1:23" x14ac:dyDescent="0.25">
      <c r="A35" s="1">
        <v>42740</v>
      </c>
      <c r="B35" s="1" t="s">
        <v>90</v>
      </c>
      <c r="C35" s="27">
        <f>'[1]HOME Repair'!G36</f>
        <v>0</v>
      </c>
      <c r="S35" s="27">
        <f t="shared" si="2"/>
        <v>0</v>
      </c>
    </row>
    <row r="36" spans="1:23" ht="30" x14ac:dyDescent="0.25">
      <c r="A36" s="1">
        <v>42750</v>
      </c>
      <c r="B36" s="1" t="s">
        <v>88</v>
      </c>
      <c r="C36" s="27">
        <f>'[1]HOME Repair'!G37</f>
        <v>0</v>
      </c>
      <c r="D36" s="7"/>
      <c r="E36" s="45">
        <v>500000</v>
      </c>
      <c r="F36" s="46"/>
      <c r="S36" s="27">
        <f>SUM(C36:Q36)</f>
        <v>500000</v>
      </c>
      <c r="U36" s="32" t="s">
        <v>91</v>
      </c>
      <c r="V36" s="29" t="s">
        <v>92</v>
      </c>
      <c r="W36" s="47">
        <v>2</v>
      </c>
    </row>
    <row r="37" spans="1:23" x14ac:dyDescent="0.25">
      <c r="A37" s="1">
        <v>42800</v>
      </c>
      <c r="B37" s="1" t="s">
        <v>93</v>
      </c>
      <c r="C37" s="27">
        <f>'[1]HOME Repair'!G38</f>
        <v>0</v>
      </c>
      <c r="G37" s="42">
        <f>85.85*12</f>
        <v>1030.1999999999998</v>
      </c>
      <c r="S37" s="27">
        <f t="shared" si="2"/>
        <v>1030.1999999999998</v>
      </c>
      <c r="U37" s="1" t="s">
        <v>94</v>
      </c>
    </row>
    <row r="38" spans="1:23" x14ac:dyDescent="0.25">
      <c r="A38" s="1">
        <v>42825</v>
      </c>
      <c r="B38" s="1" t="s">
        <v>95</v>
      </c>
      <c r="C38" s="27">
        <f>'[1]HOME Repair'!G39</f>
        <v>0</v>
      </c>
      <c r="G38" s="1">
        <v>100</v>
      </c>
      <c r="S38" s="27">
        <f t="shared" si="2"/>
        <v>100</v>
      </c>
      <c r="U38" s="1" t="s">
        <v>96</v>
      </c>
    </row>
    <row r="39" spans="1:23" x14ac:dyDescent="0.25">
      <c r="A39" s="1">
        <v>42850</v>
      </c>
      <c r="B39" s="1" t="s">
        <v>97</v>
      </c>
      <c r="C39" s="27">
        <f>'[1]HOME Repair'!G40</f>
        <v>0</v>
      </c>
      <c r="G39" s="1">
        <v>0</v>
      </c>
      <c r="S39" s="27">
        <f t="shared" si="2"/>
        <v>0</v>
      </c>
    </row>
    <row r="40" spans="1:23" x14ac:dyDescent="0.25">
      <c r="A40" s="1">
        <v>42950</v>
      </c>
      <c r="B40" s="1" t="s">
        <v>98</v>
      </c>
      <c r="C40" s="27">
        <f>'[1]HOME Repair'!G41</f>
        <v>0</v>
      </c>
      <c r="I40" s="42">
        <v>25079</v>
      </c>
      <c r="S40" s="27">
        <f t="shared" si="2"/>
        <v>25079</v>
      </c>
      <c r="U40" s="1" t="s">
        <v>99</v>
      </c>
    </row>
    <row r="41" spans="1:23" ht="45" x14ac:dyDescent="0.25">
      <c r="A41" s="1">
        <v>43210</v>
      </c>
      <c r="B41" s="1" t="s">
        <v>100</v>
      </c>
      <c r="C41" s="27">
        <f>'[1]HOME Repair'!G43</f>
        <v>0</v>
      </c>
      <c r="O41" s="43">
        <f>(5900*2)+(5000*2)+(1045*12)</f>
        <v>34340</v>
      </c>
      <c r="S41" s="27">
        <f t="shared" si="2"/>
        <v>34340</v>
      </c>
      <c r="U41" s="29" t="s">
        <v>101</v>
      </c>
    </row>
    <row r="42" spans="1:23" x14ac:dyDescent="0.25">
      <c r="A42" s="1">
        <v>43300</v>
      </c>
      <c r="B42" s="1" t="s">
        <v>102</v>
      </c>
      <c r="C42" s="27">
        <f>'[1]HOME Repair'!G44</f>
        <v>0</v>
      </c>
      <c r="S42" s="27">
        <f t="shared" si="2"/>
        <v>0</v>
      </c>
    </row>
    <row r="43" spans="1:23" x14ac:dyDescent="0.25">
      <c r="A43" s="1">
        <v>44100</v>
      </c>
      <c r="B43" s="1" t="s">
        <v>103</v>
      </c>
      <c r="C43" s="27">
        <f>'[1]HOME Repair'!G45</f>
        <v>0</v>
      </c>
      <c r="S43" s="27">
        <f t="shared" si="2"/>
        <v>0</v>
      </c>
    </row>
    <row r="44" spans="1:23" x14ac:dyDescent="0.25">
      <c r="A44" s="1">
        <v>44200</v>
      </c>
      <c r="B44" s="1" t="s">
        <v>104</v>
      </c>
      <c r="C44" s="27">
        <f>'[1]HOME Repair'!G46</f>
        <v>0</v>
      </c>
      <c r="S44" s="27">
        <f t="shared" si="2"/>
        <v>0</v>
      </c>
    </row>
    <row r="45" spans="1:23" x14ac:dyDescent="0.25">
      <c r="A45" s="1">
        <v>44500</v>
      </c>
      <c r="B45" s="1" t="s">
        <v>105</v>
      </c>
      <c r="C45" s="27">
        <f>'[1]HOME Repair'!G47</f>
        <v>0</v>
      </c>
      <c r="S45" s="27">
        <f t="shared" si="2"/>
        <v>0</v>
      </c>
    </row>
    <row r="46" spans="1:23" x14ac:dyDescent="0.25">
      <c r="A46" s="1">
        <v>44700</v>
      </c>
      <c r="B46" s="1" t="s">
        <v>106</v>
      </c>
      <c r="C46" s="27">
        <f>'[1]HOME Repair'!G48</f>
        <v>0</v>
      </c>
      <c r="S46" s="27">
        <f t="shared" si="2"/>
        <v>0</v>
      </c>
    </row>
    <row r="47" spans="1:23" x14ac:dyDescent="0.25">
      <c r="A47" s="1">
        <v>45000</v>
      </c>
      <c r="B47" s="1" t="s">
        <v>107</v>
      </c>
      <c r="C47" s="27">
        <f>'[1]HOME Repair'!G49</f>
        <v>0</v>
      </c>
      <c r="S47" s="27">
        <f t="shared" si="2"/>
        <v>0</v>
      </c>
    </row>
    <row r="48" spans="1:23" x14ac:dyDescent="0.25">
      <c r="A48" s="1">
        <v>45100</v>
      </c>
      <c r="B48" s="1" t="s">
        <v>108</v>
      </c>
      <c r="C48" s="27">
        <f>'[1]HOME Repair'!G50</f>
        <v>0</v>
      </c>
      <c r="I48" s="48">
        <v>337963</v>
      </c>
      <c r="K48" s="27"/>
      <c r="S48" s="27">
        <f t="shared" si="2"/>
        <v>337963</v>
      </c>
      <c r="U48" s="1" t="s">
        <v>109</v>
      </c>
    </row>
    <row r="49" spans="1:21" x14ac:dyDescent="0.25">
      <c r="A49" s="1">
        <v>47000</v>
      </c>
      <c r="B49" s="1" t="s">
        <v>110</v>
      </c>
      <c r="C49" s="27">
        <f>'[1]HOME Repair'!G51</f>
        <v>0</v>
      </c>
      <c r="S49" s="27">
        <f t="shared" si="2"/>
        <v>0</v>
      </c>
    </row>
    <row r="50" spans="1:21" x14ac:dyDescent="0.25">
      <c r="A50" s="1">
        <v>47500</v>
      </c>
      <c r="B50" s="1" t="s">
        <v>111</v>
      </c>
      <c r="C50" s="27">
        <f>'[1]HOME Repair'!G52</f>
        <v>0</v>
      </c>
      <c r="S50" s="27">
        <f t="shared" si="2"/>
        <v>0</v>
      </c>
    </row>
    <row r="51" spans="1:21" x14ac:dyDescent="0.25">
      <c r="A51" s="1">
        <v>48100</v>
      </c>
      <c r="B51" s="1" t="s">
        <v>112</v>
      </c>
      <c r="C51" s="27">
        <f>'[1]HOME Repair'!G53</f>
        <v>0</v>
      </c>
      <c r="S51" s="27">
        <f>SUM(C51:Q51)</f>
        <v>0</v>
      </c>
    </row>
    <row r="52" spans="1:21" x14ac:dyDescent="0.25">
      <c r="A52" s="40"/>
      <c r="B52" s="40" t="s">
        <v>113</v>
      </c>
      <c r="C52" s="49">
        <f t="shared" ref="C52:Q52" si="3">SUM(C23:C51)</f>
        <v>0</v>
      </c>
      <c r="D52" s="49">
        <f t="shared" si="3"/>
        <v>0</v>
      </c>
      <c r="E52" s="49">
        <f t="shared" si="3"/>
        <v>849791.66999999993</v>
      </c>
      <c r="F52" s="49">
        <f t="shared" si="3"/>
        <v>0</v>
      </c>
      <c r="G52" s="49">
        <f t="shared" si="3"/>
        <v>19039.342857142856</v>
      </c>
      <c r="H52" s="49">
        <f t="shared" si="3"/>
        <v>0</v>
      </c>
      <c r="I52" s="49">
        <f>SUM(I23:I51)</f>
        <v>501452.22</v>
      </c>
      <c r="J52" s="49">
        <f t="shared" si="3"/>
        <v>0</v>
      </c>
      <c r="K52" s="49">
        <f t="shared" si="3"/>
        <v>0</v>
      </c>
      <c r="L52" s="49">
        <f t="shared" si="3"/>
        <v>0</v>
      </c>
      <c r="M52" s="49">
        <f t="shared" si="3"/>
        <v>0</v>
      </c>
      <c r="N52" s="49">
        <f t="shared" si="3"/>
        <v>0</v>
      </c>
      <c r="O52" s="49">
        <f t="shared" si="3"/>
        <v>34340</v>
      </c>
      <c r="P52" s="49">
        <f t="shared" si="3"/>
        <v>0</v>
      </c>
      <c r="Q52" s="49">
        <f t="shared" si="3"/>
        <v>0</v>
      </c>
      <c r="R52" s="40"/>
      <c r="S52" s="49">
        <f>SUM(C52:Q52)</f>
        <v>1404623.2328571428</v>
      </c>
    </row>
    <row r="53" spans="1:21" x14ac:dyDescent="0.25">
      <c r="A53" s="50"/>
      <c r="B53" s="50" t="s">
        <v>114</v>
      </c>
      <c r="C53" s="51">
        <f>C52+C21</f>
        <v>699849</v>
      </c>
      <c r="D53" s="51">
        <f t="shared" ref="D53:Q53" si="4">D52+D21</f>
        <v>0</v>
      </c>
      <c r="E53" s="51">
        <f t="shared" si="4"/>
        <v>1601791.67</v>
      </c>
      <c r="F53" s="51">
        <f t="shared" si="4"/>
        <v>0</v>
      </c>
      <c r="G53" s="51">
        <f t="shared" si="4"/>
        <v>211978.68285714285</v>
      </c>
      <c r="H53" s="51">
        <f t="shared" si="4"/>
        <v>0</v>
      </c>
      <c r="I53" s="51">
        <f>I52+I21</f>
        <v>621517.22</v>
      </c>
      <c r="J53" s="51">
        <f t="shared" si="4"/>
        <v>0</v>
      </c>
      <c r="K53" s="51">
        <f t="shared" si="4"/>
        <v>0</v>
      </c>
      <c r="L53" s="51">
        <f t="shared" si="4"/>
        <v>0</v>
      </c>
      <c r="M53" s="51">
        <f t="shared" si="4"/>
        <v>0</v>
      </c>
      <c r="N53" s="51">
        <f t="shared" si="4"/>
        <v>0</v>
      </c>
      <c r="O53" s="51">
        <f t="shared" si="4"/>
        <v>34340</v>
      </c>
      <c r="P53" s="51">
        <f t="shared" si="4"/>
        <v>0</v>
      </c>
      <c r="Q53" s="51">
        <f t="shared" si="4"/>
        <v>234560</v>
      </c>
      <c r="R53" s="51"/>
      <c r="S53" s="51">
        <f>S52+S21</f>
        <v>3404036.5728571429</v>
      </c>
    </row>
    <row r="54" spans="1:21" x14ac:dyDescent="0.25">
      <c r="B54" s="31" t="s">
        <v>115</v>
      </c>
      <c r="C54" s="27"/>
    </row>
    <row r="55" spans="1:21" x14ac:dyDescent="0.25">
      <c r="A55" s="52">
        <v>50010</v>
      </c>
      <c r="B55" s="53" t="s">
        <v>116</v>
      </c>
      <c r="C55" s="54">
        <f>'[1]HOME Repair'!G61</f>
        <v>197790.58837632934</v>
      </c>
      <c r="E55" s="55">
        <f>'[1]HEAT Squad'!$G$62</f>
        <v>387212.12509874755</v>
      </c>
      <c r="G55" s="55">
        <f>'[2]FY 2021'!$AP$26</f>
        <v>259128.73327890382</v>
      </c>
      <c r="I55" s="42">
        <f>'[2]FY 2021'!$AT$26</f>
        <v>329066.40956902882</v>
      </c>
      <c r="J55" s="42"/>
      <c r="K55" s="42">
        <v>0</v>
      </c>
      <c r="L55" s="42"/>
      <c r="M55" s="42">
        <f>'[2]FY 2021'!$AV$26</f>
        <v>45445.002177884613</v>
      </c>
      <c r="N55" s="42"/>
      <c r="O55" s="42">
        <f>'[2]FY 2021'!$AN$26+'[2]FY 2021'!$AL$26</f>
        <v>8210.2833144230772</v>
      </c>
      <c r="P55" s="42"/>
      <c r="Q55" s="42">
        <f>'[2]FY 2021'!$AX$26</f>
        <v>443006.00357610092</v>
      </c>
      <c r="S55" s="27">
        <f>SUM(C55:Q55)</f>
        <v>1669859.1453914181</v>
      </c>
      <c r="U55" s="1" t="s">
        <v>117</v>
      </c>
    </row>
    <row r="56" spans="1:21" x14ac:dyDescent="0.25">
      <c r="A56" s="1">
        <v>50065</v>
      </c>
      <c r="B56" s="1" t="s">
        <v>118</v>
      </c>
      <c r="C56" s="54">
        <f>'[1]HOME Repair'!G62</f>
        <v>0</v>
      </c>
      <c r="I56" s="42"/>
      <c r="J56" s="42"/>
      <c r="K56" s="42"/>
      <c r="L56" s="42"/>
      <c r="M56" s="42"/>
      <c r="N56" s="42"/>
      <c r="O56" s="42"/>
      <c r="P56" s="42"/>
      <c r="Q56" s="42">
        <v>1000</v>
      </c>
      <c r="S56" s="27">
        <f t="shared" ref="S56:S108" si="5">SUM(C56:Q56)</f>
        <v>1000</v>
      </c>
    </row>
    <row r="57" spans="1:21" x14ac:dyDescent="0.25">
      <c r="A57" s="1">
        <v>50100</v>
      </c>
      <c r="B57" s="1" t="s">
        <v>119</v>
      </c>
      <c r="C57" s="54">
        <f>'[1]HOME Repair'!G63</f>
        <v>0</v>
      </c>
      <c r="I57" s="42"/>
      <c r="J57" s="42"/>
      <c r="K57" s="42"/>
      <c r="L57" s="42"/>
      <c r="M57" s="42"/>
      <c r="N57" s="42"/>
      <c r="O57" s="42"/>
      <c r="P57" s="42"/>
      <c r="Q57" s="42"/>
      <c r="S57" s="27">
        <f t="shared" si="5"/>
        <v>0</v>
      </c>
    </row>
    <row r="58" spans="1:21" x14ac:dyDescent="0.25">
      <c r="A58" s="1">
        <v>52000</v>
      </c>
      <c r="B58" s="1" t="s">
        <v>120</v>
      </c>
      <c r="C58" s="54">
        <f>'[1]HOME Repair'!G64</f>
        <v>0</v>
      </c>
      <c r="E58" s="56"/>
      <c r="I58" s="42"/>
      <c r="J58" s="42"/>
      <c r="K58" s="42"/>
      <c r="L58" s="42"/>
      <c r="M58" s="42"/>
      <c r="N58" s="42"/>
      <c r="O58" s="42"/>
      <c r="P58" s="42"/>
      <c r="Q58" s="57">
        <f>((2317*1.05)+600)*12</f>
        <v>36394.199999999997</v>
      </c>
      <c r="S58" s="27">
        <f t="shared" si="5"/>
        <v>36394.199999999997</v>
      </c>
    </row>
    <row r="59" spans="1:21" x14ac:dyDescent="0.25">
      <c r="A59" s="1">
        <v>52010</v>
      </c>
      <c r="B59" s="1" t="s">
        <v>121</v>
      </c>
      <c r="C59" s="54">
        <f>'[1]HOME Repair'!G65</f>
        <v>0</v>
      </c>
      <c r="E59" s="56">
        <f>66*12</f>
        <v>792</v>
      </c>
      <c r="I59" s="42"/>
      <c r="J59" s="42"/>
      <c r="K59" s="42"/>
      <c r="L59" s="42"/>
      <c r="M59" s="42"/>
      <c r="N59" s="42"/>
      <c r="O59" s="42"/>
      <c r="P59" s="42"/>
      <c r="Q59" s="57">
        <f>188.5*12</f>
        <v>2262</v>
      </c>
      <c r="S59" s="27">
        <f t="shared" si="5"/>
        <v>3054</v>
      </c>
    </row>
    <row r="60" spans="1:21" x14ac:dyDescent="0.25">
      <c r="A60" s="1">
        <v>52100</v>
      </c>
      <c r="B60" s="1" t="s">
        <v>122</v>
      </c>
      <c r="C60" s="1">
        <f>90*12</f>
        <v>1080</v>
      </c>
      <c r="E60" s="42">
        <f>138*12</f>
        <v>1656</v>
      </c>
      <c r="I60" s="42"/>
      <c r="J60" s="42"/>
      <c r="K60" s="42"/>
      <c r="L60" s="42"/>
      <c r="M60" s="42"/>
      <c r="N60" s="42"/>
      <c r="O60" s="42"/>
      <c r="P60" s="42"/>
      <c r="Q60" s="57">
        <f>350*12</f>
        <v>4200</v>
      </c>
      <c r="S60" s="27">
        <f t="shared" si="5"/>
        <v>6936</v>
      </c>
    </row>
    <row r="61" spans="1:21" x14ac:dyDescent="0.25">
      <c r="A61" s="1">
        <v>52125</v>
      </c>
      <c r="B61" s="1" t="s">
        <v>123</v>
      </c>
      <c r="C61" s="54">
        <f>140*12</f>
        <v>1680</v>
      </c>
      <c r="E61" s="42"/>
      <c r="I61" s="42"/>
      <c r="J61" s="42"/>
      <c r="K61" s="42"/>
      <c r="L61" s="42"/>
      <c r="M61" s="42"/>
      <c r="N61" s="42"/>
      <c r="O61" s="42"/>
      <c r="P61" s="42"/>
      <c r="Q61" s="57">
        <f>208*12</f>
        <v>2496</v>
      </c>
      <c r="S61" s="27">
        <f t="shared" si="5"/>
        <v>4176</v>
      </c>
    </row>
    <row r="62" spans="1:21" x14ac:dyDescent="0.25">
      <c r="A62" s="1">
        <v>52150</v>
      </c>
      <c r="B62" s="1" t="s">
        <v>124</v>
      </c>
      <c r="C62" s="54">
        <f>'[1]HOME Repair'!G70</f>
        <v>1500</v>
      </c>
      <c r="E62" s="42">
        <v>2500</v>
      </c>
      <c r="G62" s="42">
        <v>2500</v>
      </c>
      <c r="I62" s="42">
        <v>2500</v>
      </c>
      <c r="J62" s="42"/>
      <c r="K62" s="42"/>
      <c r="L62" s="42"/>
      <c r="M62" s="42"/>
      <c r="N62" s="42"/>
      <c r="O62" s="42"/>
      <c r="P62" s="42"/>
      <c r="Q62" s="42">
        <v>3000</v>
      </c>
      <c r="S62" s="27">
        <f t="shared" si="5"/>
        <v>12000</v>
      </c>
    </row>
    <row r="63" spans="1:21" x14ac:dyDescent="0.25">
      <c r="A63" s="1">
        <v>52165</v>
      </c>
      <c r="B63" s="1" t="s">
        <v>125</v>
      </c>
      <c r="C63" s="54">
        <v>300</v>
      </c>
      <c r="E63" s="42"/>
      <c r="I63" s="42"/>
      <c r="J63" s="42"/>
      <c r="K63" s="42"/>
      <c r="L63" s="42"/>
      <c r="M63" s="42"/>
      <c r="N63" s="42"/>
      <c r="O63" s="42"/>
      <c r="P63" s="42"/>
      <c r="Q63" s="57">
        <f>75*12</f>
        <v>900</v>
      </c>
      <c r="S63" s="27">
        <f t="shared" si="5"/>
        <v>1200</v>
      </c>
    </row>
    <row r="64" spans="1:21" x14ac:dyDescent="0.25">
      <c r="A64" s="1">
        <v>52170</v>
      </c>
      <c r="B64" s="1" t="s">
        <v>126</v>
      </c>
      <c r="C64" s="54">
        <v>700</v>
      </c>
      <c r="E64" s="42">
        <f>(450*12)+(52*12)</f>
        <v>6024</v>
      </c>
      <c r="G64" s="1">
        <f>17.75*12</f>
        <v>213</v>
      </c>
      <c r="I64" s="42">
        <f>(600*12)+(90*12)</f>
        <v>8280</v>
      </c>
      <c r="J64" s="42"/>
      <c r="K64" s="42"/>
      <c r="L64" s="42"/>
      <c r="M64" s="42"/>
      <c r="N64" s="42"/>
      <c r="O64" s="42"/>
      <c r="P64" s="42"/>
      <c r="Q64" s="42">
        <f>((25+66)*12)+(400*12)+4512+150+(66*12)+(60*12)+(285*12)</f>
        <v>15486</v>
      </c>
      <c r="S64" s="27">
        <f t="shared" si="5"/>
        <v>30703</v>
      </c>
      <c r="U64" s="1" t="s">
        <v>127</v>
      </c>
    </row>
    <row r="65" spans="1:20" x14ac:dyDescent="0.25">
      <c r="A65" s="1">
        <v>52200</v>
      </c>
      <c r="B65" s="1" t="s">
        <v>128</v>
      </c>
      <c r="C65" s="54">
        <v>225</v>
      </c>
      <c r="E65" s="42">
        <f>70*12</f>
        <v>840</v>
      </c>
      <c r="G65" s="42">
        <v>675</v>
      </c>
      <c r="I65" s="42">
        <f>200*12</f>
        <v>2400</v>
      </c>
      <c r="J65" s="42"/>
      <c r="K65" s="42"/>
      <c r="L65" s="42"/>
      <c r="M65" s="42">
        <v>150</v>
      </c>
      <c r="N65" s="42"/>
      <c r="O65" s="42">
        <v>50</v>
      </c>
      <c r="P65" s="42"/>
      <c r="Q65" s="58">
        <f>375*12</f>
        <v>4500</v>
      </c>
      <c r="S65" s="27">
        <f t="shared" si="5"/>
        <v>8840</v>
      </c>
    </row>
    <row r="66" spans="1:20" x14ac:dyDescent="0.25">
      <c r="A66" s="1">
        <v>52210</v>
      </c>
      <c r="B66" s="1" t="s">
        <v>129</v>
      </c>
      <c r="C66" s="54">
        <f>'[1]HOME Repair'!G74</f>
        <v>0</v>
      </c>
      <c r="E66" s="42"/>
      <c r="G66" s="42"/>
      <c r="I66" s="42"/>
      <c r="J66" s="42"/>
      <c r="K66" s="42"/>
      <c r="L66" s="42"/>
      <c r="M66" s="42"/>
      <c r="N66" s="42"/>
      <c r="O66" s="42"/>
      <c r="P66" s="42"/>
      <c r="Q66" s="57">
        <f>295.02*12</f>
        <v>3540.24</v>
      </c>
      <c r="S66" s="27">
        <f t="shared" si="5"/>
        <v>3540.24</v>
      </c>
      <c r="T66" s="1" t="s">
        <v>130</v>
      </c>
    </row>
    <row r="67" spans="1:20" x14ac:dyDescent="0.25">
      <c r="A67" s="1">
        <v>52250</v>
      </c>
      <c r="B67" s="1" t="s">
        <v>131</v>
      </c>
      <c r="C67" s="54">
        <f>'[1]HOME Repair'!G75</f>
        <v>0</v>
      </c>
      <c r="E67" s="42"/>
      <c r="G67" s="42"/>
      <c r="I67" s="42"/>
      <c r="J67" s="42"/>
      <c r="K67" s="42"/>
      <c r="L67" s="42"/>
      <c r="M67" s="42"/>
      <c r="N67" s="42"/>
      <c r="O67" s="42"/>
      <c r="P67" s="42"/>
      <c r="Q67" s="58">
        <f>135*12</f>
        <v>1620</v>
      </c>
      <c r="S67" s="27">
        <f t="shared" si="5"/>
        <v>1620</v>
      </c>
    </row>
    <row r="68" spans="1:20" x14ac:dyDescent="0.25">
      <c r="A68" s="1">
        <v>52300</v>
      </c>
      <c r="B68" s="1" t="s">
        <v>132</v>
      </c>
      <c r="C68" s="54">
        <f>'[1]HOME Repair'!G76</f>
        <v>0</v>
      </c>
      <c r="E68" s="42"/>
      <c r="G68" s="42"/>
      <c r="I68" s="42"/>
      <c r="J68" s="42"/>
      <c r="K68" s="42"/>
      <c r="L68" s="42"/>
      <c r="M68" s="42"/>
      <c r="N68" s="42"/>
      <c r="O68" s="42"/>
      <c r="P68" s="42"/>
      <c r="Q68" s="57">
        <f>77*12</f>
        <v>924</v>
      </c>
      <c r="S68" s="27">
        <f t="shared" si="5"/>
        <v>924</v>
      </c>
    </row>
    <row r="69" spans="1:20" x14ac:dyDescent="0.25">
      <c r="A69" s="1">
        <v>52500</v>
      </c>
      <c r="B69" s="1" t="s">
        <v>133</v>
      </c>
      <c r="C69" s="54">
        <f>'[1]HOME Repair'!G77</f>
        <v>0</v>
      </c>
      <c r="E69" s="42">
        <v>3000</v>
      </c>
      <c r="G69" s="42"/>
      <c r="I69" s="42"/>
      <c r="J69" s="42"/>
      <c r="K69" s="42"/>
      <c r="L69" s="42"/>
      <c r="M69" s="42"/>
      <c r="N69" s="42"/>
      <c r="O69" s="42"/>
      <c r="P69" s="42"/>
      <c r="Q69" s="57">
        <v>8300</v>
      </c>
      <c r="S69" s="27">
        <f t="shared" si="5"/>
        <v>11300</v>
      </c>
    </row>
    <row r="70" spans="1:20" x14ac:dyDescent="0.25">
      <c r="A70" s="1">
        <v>53000</v>
      </c>
      <c r="B70" s="1" t="s">
        <v>134</v>
      </c>
      <c r="C70" s="54">
        <v>0</v>
      </c>
      <c r="E70" s="42"/>
      <c r="G70" s="42"/>
      <c r="I70" s="42">
        <v>2045</v>
      </c>
      <c r="J70" s="42"/>
      <c r="K70" s="42"/>
      <c r="L70" s="42"/>
      <c r="M70" s="42"/>
      <c r="N70" s="42"/>
      <c r="O70" s="42"/>
      <c r="P70" s="42"/>
      <c r="Q70" s="42">
        <v>10000</v>
      </c>
      <c r="S70" s="27">
        <f t="shared" si="5"/>
        <v>12045</v>
      </c>
    </row>
    <row r="71" spans="1:20" x14ac:dyDescent="0.25">
      <c r="A71" s="1">
        <v>53100</v>
      </c>
      <c r="B71" s="1" t="s">
        <v>135</v>
      </c>
      <c r="C71" s="54">
        <f>'[1]HOME Repair'!G79</f>
        <v>0</v>
      </c>
      <c r="E71" s="42"/>
      <c r="G71" s="42"/>
      <c r="I71" s="42"/>
      <c r="J71" s="42"/>
      <c r="K71" s="42"/>
      <c r="L71" s="42"/>
      <c r="N71" s="42"/>
      <c r="O71" s="42"/>
      <c r="P71" s="42"/>
      <c r="Q71" s="42">
        <v>800</v>
      </c>
      <c r="S71" s="27">
        <f t="shared" si="5"/>
        <v>800</v>
      </c>
    </row>
    <row r="72" spans="1:20" x14ac:dyDescent="0.25">
      <c r="A72" s="1">
        <v>54000</v>
      </c>
      <c r="B72" s="1" t="s">
        <v>136</v>
      </c>
      <c r="C72" s="54">
        <f>'[1]HOME Repair'!G80</f>
        <v>0</v>
      </c>
      <c r="E72" s="42"/>
      <c r="G72" s="42"/>
      <c r="I72" s="42"/>
      <c r="J72" s="42"/>
      <c r="K72" s="42"/>
      <c r="L72" s="42"/>
      <c r="M72" s="42">
        <f>1000/8*12</f>
        <v>1500</v>
      </c>
      <c r="N72" s="42"/>
      <c r="O72" s="42"/>
      <c r="P72" s="42"/>
      <c r="Q72" s="42">
        <v>500</v>
      </c>
      <c r="S72" s="27">
        <f t="shared" si="5"/>
        <v>2000</v>
      </c>
    </row>
    <row r="73" spans="1:20" x14ac:dyDescent="0.25">
      <c r="A73" s="1">
        <v>54500</v>
      </c>
      <c r="B73" s="1" t="s">
        <v>137</v>
      </c>
      <c r="C73" s="54">
        <f>'[1]HOME Repair'!G81</f>
        <v>0</v>
      </c>
      <c r="E73" s="42"/>
      <c r="G73" s="42"/>
      <c r="I73" s="42"/>
      <c r="J73" s="42"/>
      <c r="K73" s="42"/>
      <c r="L73" s="42"/>
      <c r="M73" s="42"/>
      <c r="N73" s="42"/>
      <c r="O73" s="42"/>
      <c r="P73" s="42"/>
      <c r="Q73" s="42">
        <v>150</v>
      </c>
      <c r="S73" s="27">
        <f t="shared" si="5"/>
        <v>150</v>
      </c>
    </row>
    <row r="74" spans="1:20" x14ac:dyDescent="0.25">
      <c r="A74" s="1">
        <v>55000</v>
      </c>
      <c r="B74" s="1" t="s">
        <v>138</v>
      </c>
      <c r="C74" s="54">
        <f>'[1]HOME Repair'!G82</f>
        <v>0</v>
      </c>
      <c r="E74" s="42"/>
      <c r="G74" s="42"/>
      <c r="I74" s="42"/>
      <c r="J74" s="42"/>
      <c r="K74" s="42"/>
      <c r="L74" s="42"/>
      <c r="M74" s="42"/>
      <c r="N74" s="42"/>
      <c r="O74" s="42">
        <v>4304</v>
      </c>
      <c r="P74" s="42"/>
      <c r="Q74" s="57">
        <v>6500</v>
      </c>
      <c r="S74" s="27">
        <f t="shared" si="5"/>
        <v>10804</v>
      </c>
    </row>
    <row r="75" spans="1:20" x14ac:dyDescent="0.25">
      <c r="A75" s="1">
        <v>55010</v>
      </c>
      <c r="B75" s="1" t="s">
        <v>139</v>
      </c>
      <c r="C75" s="54">
        <f>'[1]HOME Repair'!G83</f>
        <v>0</v>
      </c>
      <c r="E75" s="42"/>
      <c r="G75" s="42"/>
      <c r="I75" s="42"/>
      <c r="J75" s="42"/>
      <c r="K75" s="42"/>
      <c r="L75" s="42"/>
      <c r="M75" s="42"/>
      <c r="N75" s="42"/>
      <c r="O75" s="42"/>
      <c r="P75" s="42"/>
      <c r="Q75" s="42">
        <v>8873</v>
      </c>
      <c r="S75" s="27">
        <f t="shared" si="5"/>
        <v>8873</v>
      </c>
    </row>
    <row r="76" spans="1:20" x14ac:dyDescent="0.25">
      <c r="A76" s="1">
        <v>55020</v>
      </c>
      <c r="B76" s="1" t="s">
        <v>140</v>
      </c>
      <c r="C76" s="54">
        <f>'[1]HOME Repair'!G84</f>
        <v>0</v>
      </c>
      <c r="E76" s="42">
        <v>3500</v>
      </c>
      <c r="G76" s="42"/>
      <c r="I76" s="42"/>
      <c r="J76" s="42"/>
      <c r="K76" s="42"/>
      <c r="L76" s="42"/>
      <c r="M76" s="42"/>
      <c r="N76" s="42"/>
      <c r="O76" s="42"/>
      <c r="P76" s="42"/>
      <c r="Q76" s="42"/>
      <c r="S76" s="27">
        <f t="shared" si="5"/>
        <v>3500</v>
      </c>
    </row>
    <row r="77" spans="1:20" x14ac:dyDescent="0.25">
      <c r="A77" s="1">
        <v>60000</v>
      </c>
      <c r="B77" s="1" t="s">
        <v>141</v>
      </c>
      <c r="C77" s="54">
        <v>1200</v>
      </c>
      <c r="E77" s="42">
        <v>6500</v>
      </c>
      <c r="G77" s="42">
        <v>300</v>
      </c>
      <c r="I77" s="42">
        <v>800</v>
      </c>
      <c r="J77" s="42"/>
      <c r="K77" s="42"/>
      <c r="L77" s="42"/>
      <c r="M77" s="42">
        <v>150</v>
      </c>
      <c r="N77" s="42"/>
      <c r="O77" s="42">
        <v>200</v>
      </c>
      <c r="P77" s="42"/>
      <c r="Q77" s="42"/>
      <c r="S77" s="27">
        <f t="shared" si="5"/>
        <v>9150</v>
      </c>
    </row>
    <row r="78" spans="1:20" x14ac:dyDescent="0.25">
      <c r="A78" s="1">
        <v>60100</v>
      </c>
      <c r="B78" s="1" t="s">
        <v>142</v>
      </c>
      <c r="C78" s="54">
        <v>5000</v>
      </c>
      <c r="E78" s="42">
        <v>17500</v>
      </c>
      <c r="G78" s="42"/>
      <c r="I78" s="42">
        <v>500</v>
      </c>
      <c r="J78" s="42"/>
      <c r="K78" s="42"/>
      <c r="L78" s="42"/>
      <c r="M78" s="42"/>
      <c r="N78" s="42"/>
      <c r="O78" s="42">
        <v>250</v>
      </c>
      <c r="P78" s="42"/>
      <c r="Q78" s="42">
        <v>1000</v>
      </c>
      <c r="S78" s="27">
        <f t="shared" si="5"/>
        <v>24250</v>
      </c>
    </row>
    <row r="79" spans="1:20" x14ac:dyDescent="0.25">
      <c r="A79" s="1">
        <v>60200</v>
      </c>
      <c r="B79" s="1" t="s">
        <v>143</v>
      </c>
      <c r="C79" s="54">
        <f>'[1]HOME Repair'!G87</f>
        <v>0</v>
      </c>
      <c r="E79" s="42"/>
      <c r="G79" s="42"/>
      <c r="I79" s="42"/>
      <c r="J79" s="42"/>
      <c r="K79" s="42"/>
      <c r="L79" s="42"/>
      <c r="M79" s="42">
        <f>5000+500+2000+500+7000</f>
        <v>15000</v>
      </c>
      <c r="N79" s="42"/>
      <c r="O79" s="42"/>
      <c r="P79" s="42"/>
      <c r="S79" s="27">
        <f t="shared" si="5"/>
        <v>15000</v>
      </c>
    </row>
    <row r="80" spans="1:20" x14ac:dyDescent="0.25">
      <c r="A80" s="1">
        <v>60500</v>
      </c>
      <c r="B80" s="1" t="s">
        <v>144</v>
      </c>
      <c r="C80" s="54">
        <v>2000</v>
      </c>
      <c r="E80" s="42">
        <v>8000</v>
      </c>
      <c r="G80" s="42"/>
      <c r="I80" s="42">
        <v>500</v>
      </c>
      <c r="J80" s="42"/>
      <c r="K80" s="42"/>
      <c r="L80" s="42"/>
      <c r="M80" s="42"/>
      <c r="N80" s="42"/>
      <c r="O80" s="42"/>
      <c r="P80" s="42"/>
      <c r="Q80" s="42"/>
      <c r="S80" s="27">
        <f t="shared" si="5"/>
        <v>10500</v>
      </c>
    </row>
    <row r="81" spans="1:21" x14ac:dyDescent="0.25">
      <c r="A81" s="1">
        <v>60700</v>
      </c>
      <c r="B81" s="1" t="s">
        <v>145</v>
      </c>
      <c r="C81" s="54">
        <v>1000</v>
      </c>
      <c r="E81" s="42">
        <v>2000</v>
      </c>
      <c r="G81" s="42">
        <v>500</v>
      </c>
      <c r="I81" s="42">
        <v>2500</v>
      </c>
      <c r="J81" s="42"/>
      <c r="K81" s="42"/>
      <c r="L81" s="42"/>
      <c r="M81" s="42"/>
      <c r="N81" s="42"/>
      <c r="O81" s="42"/>
      <c r="P81" s="42"/>
      <c r="Q81" s="42"/>
      <c r="S81" s="27">
        <f t="shared" si="5"/>
        <v>6000</v>
      </c>
    </row>
    <row r="82" spans="1:21" x14ac:dyDescent="0.25">
      <c r="A82" s="1">
        <v>61000</v>
      </c>
      <c r="B82" s="1" t="s">
        <v>146</v>
      </c>
      <c r="C82" s="54">
        <v>3500</v>
      </c>
      <c r="E82" s="42">
        <v>8000</v>
      </c>
      <c r="G82" s="42">
        <v>1500</v>
      </c>
      <c r="I82" s="42"/>
      <c r="J82" s="42"/>
      <c r="K82" s="42"/>
      <c r="L82" s="42"/>
      <c r="M82" s="42"/>
      <c r="N82" s="42"/>
      <c r="O82" s="42"/>
      <c r="P82" s="42"/>
      <c r="Q82" s="42">
        <v>12500</v>
      </c>
      <c r="S82" s="27">
        <f t="shared" si="5"/>
        <v>25500</v>
      </c>
    </row>
    <row r="83" spans="1:21" x14ac:dyDescent="0.25">
      <c r="A83" s="1">
        <v>61510</v>
      </c>
      <c r="B83" s="1" t="s">
        <v>147</v>
      </c>
      <c r="C83" s="54">
        <v>0</v>
      </c>
      <c r="E83" s="42"/>
      <c r="G83" s="42">
        <v>8900</v>
      </c>
      <c r="I83" s="42">
        <f>(34+14+36+3)*1.5*110</f>
        <v>14355</v>
      </c>
      <c r="J83" s="42"/>
      <c r="K83" s="42"/>
      <c r="L83" s="42"/>
      <c r="M83" s="42"/>
      <c r="N83" s="42"/>
      <c r="O83" s="42"/>
      <c r="P83" s="42"/>
      <c r="Q83" s="42"/>
      <c r="S83" s="27">
        <f t="shared" si="5"/>
        <v>23255</v>
      </c>
      <c r="U83" s="1" t="s">
        <v>148</v>
      </c>
    </row>
    <row r="84" spans="1:21" x14ac:dyDescent="0.25">
      <c r="A84" s="1">
        <v>61520</v>
      </c>
      <c r="B84" s="1" t="s">
        <v>149</v>
      </c>
      <c r="C84" s="54">
        <f>'[1]HOME Repair'!G93</f>
        <v>0</v>
      </c>
      <c r="E84" s="42"/>
      <c r="I84" s="42">
        <v>70</v>
      </c>
      <c r="J84" s="42"/>
      <c r="K84" s="42"/>
      <c r="L84" s="42"/>
      <c r="M84" s="42"/>
      <c r="N84" s="42"/>
      <c r="O84" s="42"/>
      <c r="P84" s="42"/>
      <c r="Q84" s="42"/>
      <c r="S84" s="27">
        <f t="shared" si="5"/>
        <v>70</v>
      </c>
    </row>
    <row r="85" spans="1:21" x14ac:dyDescent="0.25">
      <c r="A85" s="1">
        <v>61550</v>
      </c>
      <c r="B85" s="1" t="s">
        <v>150</v>
      </c>
      <c r="C85" s="54">
        <f>'[1]HOME Repair'!G94</f>
        <v>0</v>
      </c>
      <c r="E85" s="42"/>
      <c r="I85" s="42">
        <v>75</v>
      </c>
      <c r="J85" s="42"/>
      <c r="K85" s="42"/>
      <c r="L85" s="42"/>
      <c r="M85" s="42"/>
      <c r="N85" s="42"/>
      <c r="O85" s="42"/>
      <c r="P85" s="42"/>
      <c r="Q85" s="42"/>
      <c r="S85" s="27">
        <f t="shared" si="5"/>
        <v>75</v>
      </c>
    </row>
    <row r="86" spans="1:21" x14ac:dyDescent="0.25">
      <c r="A86" s="1">
        <v>61570</v>
      </c>
      <c r="B86" s="1" t="s">
        <v>151</v>
      </c>
      <c r="C86" s="54">
        <f>'[1]HOME Repair'!G95</f>
        <v>0</v>
      </c>
      <c r="E86" s="42"/>
      <c r="I86" s="42"/>
      <c r="J86" s="42"/>
      <c r="K86" s="42"/>
      <c r="L86" s="42"/>
      <c r="M86" s="42"/>
      <c r="N86" s="42"/>
      <c r="O86" s="42">
        <f>500*4</f>
        <v>2000</v>
      </c>
      <c r="P86" s="42"/>
      <c r="Q86" s="42"/>
      <c r="S86" s="27">
        <f t="shared" si="5"/>
        <v>2000</v>
      </c>
    </row>
    <row r="87" spans="1:21" x14ac:dyDescent="0.25">
      <c r="A87" s="1">
        <v>61580</v>
      </c>
      <c r="B87" s="1" t="s">
        <v>152</v>
      </c>
      <c r="C87" s="54">
        <f>'[1]HOME Repair'!G96</f>
        <v>0</v>
      </c>
      <c r="E87" s="42"/>
      <c r="G87" s="1">
        <v>75</v>
      </c>
      <c r="I87" s="42"/>
      <c r="J87" s="42"/>
      <c r="K87" s="42"/>
      <c r="L87" s="42"/>
      <c r="M87" s="42"/>
      <c r="N87" s="42"/>
      <c r="O87" s="42"/>
      <c r="P87" s="42"/>
      <c r="Q87" s="42"/>
      <c r="S87" s="27">
        <f t="shared" si="5"/>
        <v>75</v>
      </c>
    </row>
    <row r="88" spans="1:21" x14ac:dyDescent="0.25">
      <c r="A88" s="1">
        <v>61599</v>
      </c>
      <c r="B88" s="1" t="s">
        <v>153</v>
      </c>
      <c r="C88" s="54">
        <f>'[1]HOME Repair'!G97</f>
        <v>0</v>
      </c>
      <c r="E88" s="42"/>
      <c r="I88" s="42"/>
      <c r="J88" s="42"/>
      <c r="K88" s="42"/>
      <c r="L88" s="42"/>
      <c r="M88" s="42"/>
      <c r="N88" s="42"/>
      <c r="O88" s="42"/>
      <c r="P88" s="42"/>
      <c r="Q88" s="42"/>
      <c r="S88" s="27">
        <f t="shared" si="5"/>
        <v>0</v>
      </c>
    </row>
    <row r="89" spans="1:21" x14ac:dyDescent="0.25">
      <c r="A89" s="1">
        <v>62000</v>
      </c>
      <c r="B89" s="1" t="s">
        <v>154</v>
      </c>
      <c r="C89" s="54">
        <v>500</v>
      </c>
      <c r="E89" s="42">
        <v>1500</v>
      </c>
      <c r="I89" s="42">
        <v>1500</v>
      </c>
      <c r="J89" s="42"/>
      <c r="K89" s="42"/>
      <c r="L89" s="42"/>
      <c r="M89" s="42"/>
      <c r="N89" s="42"/>
      <c r="O89" s="42"/>
      <c r="P89" s="42"/>
      <c r="Q89" s="42"/>
      <c r="S89" s="27">
        <f t="shared" si="5"/>
        <v>3500</v>
      </c>
    </row>
    <row r="90" spans="1:21" x14ac:dyDescent="0.25">
      <c r="A90" s="1">
        <v>62100</v>
      </c>
      <c r="B90" s="1" t="s">
        <v>155</v>
      </c>
      <c r="C90" s="54">
        <f>'[1]HOME Repair'!G99</f>
        <v>0</v>
      </c>
      <c r="E90" s="42"/>
      <c r="I90" s="42"/>
      <c r="J90" s="42"/>
      <c r="K90" s="42"/>
      <c r="L90" s="42"/>
      <c r="M90" s="42"/>
      <c r="N90" s="42"/>
      <c r="O90" s="42"/>
      <c r="P90" s="42"/>
      <c r="Q90" s="42">
        <v>20000</v>
      </c>
      <c r="S90" s="27">
        <f t="shared" si="5"/>
        <v>20000</v>
      </c>
    </row>
    <row r="91" spans="1:21" x14ac:dyDescent="0.25">
      <c r="A91" s="1">
        <v>63000</v>
      </c>
      <c r="B91" s="1" t="s">
        <v>156</v>
      </c>
      <c r="C91" s="54">
        <v>0</v>
      </c>
      <c r="E91" s="42"/>
      <c r="I91" s="42"/>
      <c r="J91" s="42"/>
      <c r="K91" s="42"/>
      <c r="L91" s="42"/>
      <c r="M91" s="42"/>
      <c r="N91" s="42"/>
      <c r="O91" s="42"/>
      <c r="P91" s="42"/>
      <c r="Q91" s="42">
        <f>20000+5000+15000+25000+17000</f>
        <v>82000</v>
      </c>
      <c r="S91" s="27">
        <f t="shared" si="5"/>
        <v>82000</v>
      </c>
    </row>
    <row r="92" spans="1:21" x14ac:dyDescent="0.25">
      <c r="A92" s="1">
        <v>63050</v>
      </c>
      <c r="B92" s="1" t="s">
        <v>157</v>
      </c>
      <c r="C92" s="54">
        <f>'[1]HOME Repair'!G101</f>
        <v>0</v>
      </c>
      <c r="E92" s="42"/>
      <c r="I92" s="42"/>
      <c r="J92" s="42"/>
      <c r="K92" s="42"/>
      <c r="L92" s="42"/>
      <c r="M92" s="42"/>
      <c r="N92" s="42"/>
      <c r="O92" s="42"/>
      <c r="P92" s="42"/>
      <c r="Q92" s="42">
        <v>15000</v>
      </c>
      <c r="S92" s="27">
        <f t="shared" si="5"/>
        <v>15000</v>
      </c>
    </row>
    <row r="93" spans="1:21" x14ac:dyDescent="0.25">
      <c r="A93" s="1">
        <v>63100</v>
      </c>
      <c r="B93" s="1" t="s">
        <v>158</v>
      </c>
      <c r="C93" s="54">
        <f>'[1]HOME Repair'!G102</f>
        <v>0</v>
      </c>
      <c r="E93" s="42">
        <f>E29</f>
        <v>225000</v>
      </c>
      <c r="I93" s="42"/>
      <c r="J93" s="42"/>
      <c r="K93" s="42"/>
      <c r="L93" s="42"/>
      <c r="M93" s="42"/>
      <c r="N93" s="42"/>
      <c r="O93" s="42"/>
      <c r="P93" s="42"/>
      <c r="Q93" s="42"/>
      <c r="S93" s="27">
        <f t="shared" si="5"/>
        <v>225000</v>
      </c>
      <c r="U93" s="1" t="s">
        <v>159</v>
      </c>
    </row>
    <row r="94" spans="1:21" x14ac:dyDescent="0.25">
      <c r="A94" s="1">
        <v>63500</v>
      </c>
      <c r="B94" s="1" t="s">
        <v>160</v>
      </c>
      <c r="C94" s="54">
        <f>'[1]HOME Repair'!G103</f>
        <v>0</v>
      </c>
      <c r="E94" s="42"/>
      <c r="G94" s="42">
        <v>7350</v>
      </c>
      <c r="I94" s="42"/>
      <c r="J94" s="42"/>
      <c r="K94" s="42"/>
      <c r="L94" s="42"/>
      <c r="M94" s="42"/>
      <c r="N94" s="42"/>
      <c r="O94" s="42"/>
      <c r="P94" s="42"/>
      <c r="Q94" s="42"/>
      <c r="S94" s="27">
        <f t="shared" si="5"/>
        <v>7350</v>
      </c>
    </row>
    <row r="95" spans="1:21" x14ac:dyDescent="0.25">
      <c r="A95" s="1">
        <v>65000</v>
      </c>
      <c r="B95" s="1" t="s">
        <v>161</v>
      </c>
      <c r="C95" s="54">
        <f>'[1]HOME Repair'!G104</f>
        <v>0</v>
      </c>
      <c r="E95" s="42"/>
      <c r="I95" s="42"/>
      <c r="J95" s="42"/>
      <c r="K95" s="42"/>
      <c r="L95" s="42"/>
      <c r="M95" s="42"/>
      <c r="N95" s="42"/>
      <c r="O95" s="42">
        <v>6500</v>
      </c>
      <c r="P95" s="42"/>
      <c r="Q95" s="42"/>
      <c r="S95" s="27">
        <f t="shared" si="5"/>
        <v>6500</v>
      </c>
    </row>
    <row r="96" spans="1:21" x14ac:dyDescent="0.25">
      <c r="A96" s="1">
        <v>65100</v>
      </c>
      <c r="B96" s="1" t="s">
        <v>162</v>
      </c>
      <c r="C96" s="54">
        <v>450</v>
      </c>
      <c r="E96" s="56"/>
      <c r="I96" s="42"/>
      <c r="J96" s="42"/>
      <c r="K96" s="42"/>
      <c r="L96" s="42"/>
      <c r="M96" s="42"/>
      <c r="N96" s="42"/>
      <c r="O96" s="42">
        <v>1000</v>
      </c>
      <c r="P96" s="42"/>
      <c r="Q96" s="42"/>
      <c r="S96" s="27">
        <f t="shared" si="5"/>
        <v>1450</v>
      </c>
    </row>
    <row r="97" spans="1:22" x14ac:dyDescent="0.25">
      <c r="A97" s="1">
        <v>65200</v>
      </c>
      <c r="B97" s="1" t="s">
        <v>163</v>
      </c>
      <c r="C97" s="54">
        <f>'[1]HOME Repair'!G106</f>
        <v>0</v>
      </c>
      <c r="E97" s="56"/>
      <c r="I97" s="42"/>
      <c r="J97" s="42"/>
      <c r="K97" s="42"/>
      <c r="L97" s="42"/>
      <c r="M97" s="42"/>
      <c r="N97" s="42"/>
      <c r="O97" s="42">
        <v>1100</v>
      </c>
      <c r="P97" s="42"/>
      <c r="Q97" s="42"/>
      <c r="S97" s="27">
        <f t="shared" si="5"/>
        <v>1100</v>
      </c>
    </row>
    <row r="98" spans="1:22" x14ac:dyDescent="0.25">
      <c r="A98" s="1">
        <v>65205</v>
      </c>
      <c r="B98" s="1" t="s">
        <v>164</v>
      </c>
      <c r="C98" s="54">
        <f>'[1]HOME Repair'!G107</f>
        <v>0</v>
      </c>
      <c r="E98" s="56"/>
      <c r="I98" s="42"/>
      <c r="J98" s="42"/>
      <c r="K98" s="42"/>
      <c r="L98" s="42"/>
      <c r="M98" s="42"/>
      <c r="N98" s="42"/>
      <c r="O98" s="42">
        <v>350</v>
      </c>
      <c r="P98" s="42"/>
      <c r="Q98" s="42"/>
      <c r="S98" s="27">
        <f t="shared" si="5"/>
        <v>350</v>
      </c>
    </row>
    <row r="99" spans="1:22" x14ac:dyDescent="0.25">
      <c r="A99" s="1">
        <v>65210</v>
      </c>
      <c r="B99" s="1" t="s">
        <v>165</v>
      </c>
      <c r="C99" s="54">
        <f>'[1]HOME Repair'!G108</f>
        <v>0</v>
      </c>
      <c r="E99" s="56"/>
      <c r="I99" s="42"/>
      <c r="J99" s="42"/>
      <c r="K99" s="42"/>
      <c r="L99" s="42"/>
      <c r="M99" s="42"/>
      <c r="N99" s="42"/>
      <c r="O99" s="42">
        <v>6500</v>
      </c>
      <c r="P99" s="42"/>
      <c r="Q99" s="42"/>
      <c r="S99" s="27">
        <f t="shared" si="5"/>
        <v>6500</v>
      </c>
    </row>
    <row r="100" spans="1:22" x14ac:dyDescent="0.25">
      <c r="A100" s="1">
        <v>66000</v>
      </c>
      <c r="B100" s="1" t="s">
        <v>166</v>
      </c>
      <c r="C100" s="54">
        <f>'[1]HOME Repair'!G109</f>
        <v>0</v>
      </c>
      <c r="E100" s="56"/>
      <c r="I100" s="42"/>
      <c r="J100" s="42"/>
      <c r="K100" s="42"/>
      <c r="L100" s="42"/>
      <c r="M100" s="42"/>
      <c r="N100" s="42"/>
      <c r="O100" s="42">
        <v>10500</v>
      </c>
      <c r="P100" s="42"/>
      <c r="Q100" s="42"/>
      <c r="S100" s="27">
        <f t="shared" si="5"/>
        <v>10500</v>
      </c>
    </row>
    <row r="101" spans="1:22" x14ac:dyDescent="0.25">
      <c r="A101" s="1">
        <v>66500</v>
      </c>
      <c r="B101" s="1" t="s">
        <v>167</v>
      </c>
      <c r="C101" s="54">
        <f>'[1]HOME Repair'!G110</f>
        <v>0</v>
      </c>
      <c r="E101" s="56"/>
      <c r="I101" s="42"/>
      <c r="J101" s="42"/>
      <c r="K101" s="42"/>
      <c r="L101" s="42"/>
      <c r="M101" s="42"/>
      <c r="N101" s="42"/>
      <c r="O101" s="42"/>
      <c r="P101" s="42"/>
      <c r="Q101" s="57">
        <v>1560</v>
      </c>
      <c r="S101" s="27">
        <f t="shared" si="5"/>
        <v>1560</v>
      </c>
    </row>
    <row r="102" spans="1:22" x14ac:dyDescent="0.25">
      <c r="A102" s="1">
        <v>66510</v>
      </c>
      <c r="B102" s="1" t="s">
        <v>168</v>
      </c>
      <c r="C102" s="54">
        <f>'[1]HOME Repair'!G111</f>
        <v>0</v>
      </c>
      <c r="E102" s="56"/>
      <c r="I102" s="42"/>
      <c r="J102" s="42"/>
      <c r="K102" s="42"/>
      <c r="L102" s="42"/>
      <c r="M102" s="42"/>
      <c r="N102" s="42"/>
      <c r="O102" s="42"/>
      <c r="P102" s="42"/>
      <c r="Q102" s="57">
        <v>4400</v>
      </c>
      <c r="S102" s="27">
        <f t="shared" si="5"/>
        <v>4400</v>
      </c>
    </row>
    <row r="103" spans="1:22" x14ac:dyDescent="0.25">
      <c r="A103" s="1">
        <v>66600</v>
      </c>
      <c r="B103" s="1" t="s">
        <v>169</v>
      </c>
      <c r="C103" s="54">
        <f>'[1]HOME Repair'!G112</f>
        <v>0</v>
      </c>
      <c r="E103" s="56"/>
      <c r="I103" s="42"/>
      <c r="J103" s="42"/>
      <c r="K103" s="42"/>
      <c r="L103" s="42"/>
      <c r="M103" s="42"/>
      <c r="N103" s="42"/>
      <c r="O103" s="42"/>
      <c r="P103" s="42"/>
      <c r="Q103" s="42"/>
      <c r="S103" s="27">
        <f t="shared" si="5"/>
        <v>0</v>
      </c>
    </row>
    <row r="104" spans="1:22" x14ac:dyDescent="0.25">
      <c r="A104" s="1">
        <v>67000</v>
      </c>
      <c r="B104" s="1" t="s">
        <v>170</v>
      </c>
      <c r="C104" s="54">
        <v>0</v>
      </c>
      <c r="I104" s="42"/>
      <c r="J104" s="42"/>
      <c r="K104" s="42"/>
      <c r="L104" s="42"/>
      <c r="M104" s="42"/>
      <c r="N104" s="42"/>
      <c r="O104" s="42">
        <v>5500</v>
      </c>
      <c r="P104" s="42"/>
      <c r="Q104" s="42"/>
      <c r="S104" s="27">
        <f t="shared" si="5"/>
        <v>5500</v>
      </c>
    </row>
    <row r="105" spans="1:22" x14ac:dyDescent="0.25">
      <c r="A105" s="1">
        <v>67050</v>
      </c>
      <c r="B105" s="1" t="s">
        <v>171</v>
      </c>
      <c r="C105" s="54">
        <v>0</v>
      </c>
      <c r="I105" s="42"/>
      <c r="J105" s="42"/>
      <c r="K105" s="42"/>
      <c r="L105" s="42"/>
      <c r="M105" s="42"/>
      <c r="N105" s="42"/>
      <c r="O105" s="42"/>
      <c r="P105" s="42"/>
      <c r="Q105" s="42">
        <v>300</v>
      </c>
      <c r="S105" s="27">
        <f t="shared" si="5"/>
        <v>300</v>
      </c>
    </row>
    <row r="106" spans="1:22" x14ac:dyDescent="0.25">
      <c r="A106" s="1">
        <v>67200</v>
      </c>
      <c r="B106" s="1" t="s">
        <v>172</v>
      </c>
      <c r="C106" s="54">
        <v>1060</v>
      </c>
      <c r="I106" s="42"/>
      <c r="J106" s="42"/>
      <c r="K106" s="42"/>
      <c r="L106" s="42"/>
      <c r="M106" s="42"/>
      <c r="N106" s="42"/>
      <c r="O106" s="42">
        <v>2555</v>
      </c>
      <c r="P106" s="42"/>
      <c r="Q106" s="42"/>
      <c r="S106" s="27">
        <f t="shared" si="5"/>
        <v>3615</v>
      </c>
    </row>
    <row r="107" spans="1:22" x14ac:dyDescent="0.25">
      <c r="A107" s="1">
        <v>68100</v>
      </c>
      <c r="B107" s="1" t="s">
        <v>173</v>
      </c>
      <c r="C107" s="54">
        <f>40000+425000</f>
        <v>465000</v>
      </c>
      <c r="E107" s="54">
        <f>76000+('DRAFT Operating Budget FY 2022'!E10*0.65)+98000+20000+(375000*0.65)</f>
        <v>507950</v>
      </c>
      <c r="G107" s="42">
        <v>22027</v>
      </c>
      <c r="I107" s="42">
        <f>I12</f>
        <v>40000</v>
      </c>
      <c r="J107" s="42"/>
      <c r="K107" s="42"/>
      <c r="L107" s="42"/>
      <c r="M107" s="42"/>
      <c r="N107" s="42"/>
      <c r="O107" s="42"/>
      <c r="P107" s="42"/>
      <c r="Q107" s="42"/>
      <c r="S107" s="27">
        <f t="shared" si="5"/>
        <v>1034977</v>
      </c>
      <c r="U107" s="1" t="s">
        <v>174</v>
      </c>
    </row>
    <row r="108" spans="1:22" x14ac:dyDescent="0.25">
      <c r="A108" s="1">
        <v>69000</v>
      </c>
      <c r="B108" s="1" t="s">
        <v>175</v>
      </c>
      <c r="C108" s="54">
        <v>150</v>
      </c>
      <c r="E108" s="1">
        <v>150</v>
      </c>
      <c r="G108" s="1">
        <v>150</v>
      </c>
      <c r="I108" s="42">
        <v>150</v>
      </c>
      <c r="J108" s="42"/>
      <c r="K108" s="42"/>
      <c r="L108" s="42"/>
      <c r="M108" s="42"/>
      <c r="N108" s="42"/>
      <c r="O108" s="42"/>
      <c r="P108" s="42"/>
      <c r="Q108" s="42">
        <v>150</v>
      </c>
      <c r="S108" s="27">
        <f t="shared" si="5"/>
        <v>750</v>
      </c>
    </row>
    <row r="109" spans="1:22" x14ac:dyDescent="0.25">
      <c r="A109" s="1">
        <v>72000</v>
      </c>
      <c r="B109" s="1" t="s">
        <v>176</v>
      </c>
      <c r="C109" s="54">
        <v>0</v>
      </c>
      <c r="I109" s="42"/>
      <c r="J109" s="42"/>
      <c r="K109" s="42"/>
      <c r="L109" s="42"/>
      <c r="M109" s="42"/>
      <c r="N109" s="42"/>
      <c r="O109" s="42">
        <f>(295+25)*12</f>
        <v>3840</v>
      </c>
      <c r="P109" s="42"/>
      <c r="Q109" s="42"/>
      <c r="S109" s="27">
        <f>SUM(C109:Q109)</f>
        <v>3840</v>
      </c>
    </row>
    <row r="110" spans="1:22" x14ac:dyDescent="0.25">
      <c r="A110" s="40"/>
      <c r="B110" s="40" t="s">
        <v>177</v>
      </c>
      <c r="C110" s="49">
        <f>SUM(C55:C109)</f>
        <v>683135.58837632928</v>
      </c>
      <c r="D110" s="49">
        <f t="shared" ref="D110:R110" si="6">SUM(D55:D109)</f>
        <v>0</v>
      </c>
      <c r="E110" s="49">
        <f t="shared" si="6"/>
        <v>1182124.1250987477</v>
      </c>
      <c r="F110" s="49">
        <f t="shared" si="6"/>
        <v>0</v>
      </c>
      <c r="G110" s="49">
        <f t="shared" si="6"/>
        <v>303318.73327890382</v>
      </c>
      <c r="H110" s="49">
        <f t="shared" si="6"/>
        <v>0</v>
      </c>
      <c r="I110" s="49">
        <f t="shared" si="6"/>
        <v>404741.40956902882</v>
      </c>
      <c r="J110" s="49">
        <f t="shared" si="6"/>
        <v>0</v>
      </c>
      <c r="K110" s="49">
        <f t="shared" si="6"/>
        <v>0</v>
      </c>
      <c r="L110" s="49">
        <f t="shared" si="6"/>
        <v>0</v>
      </c>
      <c r="M110" s="49">
        <f t="shared" si="6"/>
        <v>62245.002177884613</v>
      </c>
      <c r="N110" s="49">
        <f t="shared" si="6"/>
        <v>0</v>
      </c>
      <c r="O110" s="49">
        <f t="shared" si="6"/>
        <v>52859.283314423075</v>
      </c>
      <c r="P110" s="49">
        <f t="shared" si="6"/>
        <v>0</v>
      </c>
      <c r="Q110" s="49">
        <f t="shared" si="6"/>
        <v>691361.44357610098</v>
      </c>
      <c r="R110" s="49">
        <f t="shared" si="6"/>
        <v>0</v>
      </c>
      <c r="S110" s="49">
        <f>SUM(S55:S109)</f>
        <v>3379785.5853914181</v>
      </c>
      <c r="U110" s="59">
        <f>S110-Q110</f>
        <v>2688424.1418153169</v>
      </c>
      <c r="V110" s="1" t="s">
        <v>177</v>
      </c>
    </row>
    <row r="111" spans="1:22" x14ac:dyDescent="0.25">
      <c r="A111" s="40"/>
      <c r="B111" s="40" t="s">
        <v>178</v>
      </c>
      <c r="C111" s="49">
        <f>C110-C107</f>
        <v>218135.58837632928</v>
      </c>
      <c r="D111" s="49"/>
      <c r="E111" s="49">
        <f>E110-E107</f>
        <v>674174.12509874767</v>
      </c>
      <c r="F111" s="49"/>
      <c r="G111" s="49">
        <f>G110-G107</f>
        <v>281291.73327890382</v>
      </c>
      <c r="H111" s="49"/>
      <c r="I111" s="49">
        <f>I110-I107</f>
        <v>364741.40956902882</v>
      </c>
      <c r="J111" s="49"/>
      <c r="K111" s="49">
        <f>K110-K107</f>
        <v>0</v>
      </c>
      <c r="L111" s="49"/>
      <c r="M111" s="49">
        <f>M110-M107</f>
        <v>62245.002177884613</v>
      </c>
      <c r="N111" s="49"/>
      <c r="O111" s="49">
        <f>O110-O107</f>
        <v>52859.283314423075</v>
      </c>
      <c r="P111" s="49"/>
      <c r="Q111" s="49">
        <f>Q110-Q107</f>
        <v>691361.44357610098</v>
      </c>
      <c r="S111" s="49">
        <f>SUM(C111:Q111)</f>
        <v>2344808.5853914181</v>
      </c>
      <c r="U111" s="60">
        <f>U110/S110</f>
        <v>0.79544221782458613</v>
      </c>
      <c r="V111" s="1" t="s">
        <v>179</v>
      </c>
    </row>
    <row r="112" spans="1:22" x14ac:dyDescent="0.25">
      <c r="A112" s="31"/>
      <c r="B112" s="31" t="s">
        <v>180</v>
      </c>
      <c r="C112" s="61">
        <f>C53-C110</f>
        <v>16713.41162367072</v>
      </c>
      <c r="D112" s="61"/>
      <c r="E112" s="61">
        <f>E53-E110</f>
        <v>419667.54490125226</v>
      </c>
      <c r="F112" s="61"/>
      <c r="G112" s="61">
        <f>G53-G110</f>
        <v>-91340.05042176097</v>
      </c>
      <c r="H112" s="61"/>
      <c r="I112" s="61">
        <f>I53-I110</f>
        <v>216775.81043097115</v>
      </c>
      <c r="J112" s="61"/>
      <c r="K112" s="61">
        <f>K53-K110</f>
        <v>0</v>
      </c>
      <c r="L112" s="61"/>
      <c r="M112" s="61">
        <f>M53-M110</f>
        <v>-62245.002177884613</v>
      </c>
      <c r="N112" s="61"/>
      <c r="O112" s="61">
        <f>O53-O110</f>
        <v>-18519.283314423075</v>
      </c>
      <c r="P112" s="61"/>
      <c r="Q112" s="61">
        <f>Q53-Q110</f>
        <v>-456801.44357610098</v>
      </c>
      <c r="S112" s="61">
        <f>+S53-S110</f>
        <v>24250.987465724815</v>
      </c>
      <c r="U112" s="60">
        <f>1-U111</f>
        <v>0.20455778217541387</v>
      </c>
      <c r="V112" s="1" t="s">
        <v>181</v>
      </c>
    </row>
    <row r="113" spans="1:22" x14ac:dyDescent="0.25">
      <c r="B113" s="1" t="s">
        <v>182</v>
      </c>
      <c r="C113" s="62">
        <f>+C111/$U$113*(-$Q$113)</f>
        <v>60264.794165859857</v>
      </c>
      <c r="D113" s="63"/>
      <c r="E113" s="62">
        <f>+E111/$U$113*(-$Q$113)</f>
        <v>186255.55409569968</v>
      </c>
      <c r="F113" s="63"/>
      <c r="G113" s="62">
        <f>+G111/$U$113*(-$Q$113)</f>
        <v>77713.07989123436</v>
      </c>
      <c r="H113" s="63"/>
      <c r="I113" s="62">
        <f>+I111/$U$113*(-$Q$113)</f>
        <v>100767.90373848211</v>
      </c>
      <c r="J113" s="63"/>
      <c r="K113" s="62">
        <f>+K111/$U$113*(-$Q$113)</f>
        <v>0</v>
      </c>
      <c r="L113" s="63"/>
      <c r="M113" s="62">
        <f>+M111/$U$113*(-$Q$113)</f>
        <v>17196.562340080633</v>
      </c>
      <c r="N113" s="63"/>
      <c r="O113" s="62">
        <f>+O111/$U$113*(-$Q$113)</f>
        <v>14603.549344744397</v>
      </c>
      <c r="P113" s="63"/>
      <c r="Q113" s="63">
        <f>+Q112</f>
        <v>-456801.44357610098</v>
      </c>
      <c r="S113" s="59">
        <f>SUM(C113:Q113)</f>
        <v>0</v>
      </c>
      <c r="U113" s="59">
        <f>S111-Q111</f>
        <v>1653447.1418153171</v>
      </c>
      <c r="V113" s="1" t="s">
        <v>183</v>
      </c>
    </row>
    <row r="114" spans="1:22" x14ac:dyDescent="0.25">
      <c r="A114" s="31"/>
      <c r="B114" s="31" t="s">
        <v>184</v>
      </c>
      <c r="C114" s="61">
        <f>C110+C113</f>
        <v>743400.38254218909</v>
      </c>
      <c r="D114" s="61"/>
      <c r="E114" s="61">
        <f>E110+E113</f>
        <v>1368379.6791944474</v>
      </c>
      <c r="F114" s="61"/>
      <c r="G114" s="61">
        <f>G110+G113</f>
        <v>381031.81317013816</v>
      </c>
      <c r="H114" s="61"/>
      <c r="I114" s="61">
        <f>I110+I113</f>
        <v>505509.31330751092</v>
      </c>
      <c r="J114" s="61"/>
      <c r="K114" s="61">
        <f>K110+K113</f>
        <v>0</v>
      </c>
      <c r="L114" s="61"/>
      <c r="M114" s="61">
        <f>M110+M113</f>
        <v>79441.564517965249</v>
      </c>
      <c r="N114" s="61"/>
      <c r="O114" s="61">
        <f>O110+O113</f>
        <v>67462.83265916747</v>
      </c>
      <c r="P114" s="61"/>
      <c r="Q114" s="61">
        <f>Q110-Q111</f>
        <v>0</v>
      </c>
      <c r="S114" s="59">
        <f>S110</f>
        <v>3379785.5853914181</v>
      </c>
      <c r="U114" s="59"/>
    </row>
    <row r="115" spans="1:22" ht="15.75" thickBot="1" x14ac:dyDescent="0.3">
      <c r="B115" s="50" t="s">
        <v>185</v>
      </c>
      <c r="C115" s="64">
        <f>C53-C114</f>
        <v>-43551.382542189094</v>
      </c>
      <c r="D115" s="64"/>
      <c r="E115" s="64">
        <f>E53-E114</f>
        <v>233411.99080555257</v>
      </c>
      <c r="F115" s="64"/>
      <c r="G115" s="64">
        <f>G53-G114</f>
        <v>-169053.13031299532</v>
      </c>
      <c r="H115" s="64"/>
      <c r="I115" s="64">
        <f>I53-I114</f>
        <v>116007.90669248905</v>
      </c>
      <c r="J115" s="64"/>
      <c r="K115" s="64">
        <f>K53-K114</f>
        <v>0</v>
      </c>
      <c r="L115" s="64"/>
      <c r="M115" s="64">
        <f>M53-M114</f>
        <v>-79441.564517965249</v>
      </c>
      <c r="N115" s="64"/>
      <c r="O115" s="64">
        <f>O53-O114</f>
        <v>-33122.83265916747</v>
      </c>
      <c r="P115" s="64"/>
      <c r="Q115" s="64">
        <f>-Q114</f>
        <v>0</v>
      </c>
      <c r="S115" s="64">
        <f>S53-S114</f>
        <v>24250.987465724815</v>
      </c>
    </row>
    <row r="116" spans="1:22" ht="15.75" thickBot="1" x14ac:dyDescent="0.3">
      <c r="A116" s="31"/>
      <c r="B116" s="65" t="s">
        <v>186</v>
      </c>
      <c r="C116" s="66">
        <f>C115+E115</f>
        <v>189860.60826336348</v>
      </c>
      <c r="D116" s="67"/>
      <c r="E116" s="68"/>
      <c r="F116" s="69"/>
      <c r="G116" s="66">
        <f>G115+I115+K115</f>
        <v>-53045.223620506265</v>
      </c>
      <c r="H116" s="67"/>
      <c r="I116" s="67"/>
      <c r="J116" s="67"/>
      <c r="K116" s="68"/>
      <c r="L116" s="69"/>
      <c r="M116" s="66">
        <f>M115+O115</f>
        <v>-112564.39717713272</v>
      </c>
      <c r="N116" s="67"/>
      <c r="O116" s="68"/>
      <c r="P116" s="69"/>
      <c r="Q116" s="70">
        <f>+Q115</f>
        <v>0</v>
      </c>
      <c r="R116" s="69"/>
      <c r="S116" s="70">
        <f>+S115</f>
        <v>24250.987465724815</v>
      </c>
      <c r="T116" s="69"/>
      <c r="U116" s="70">
        <f>SUM(-S116+Q116+M116+G116+C116)</f>
        <v>-3.2014213502407074E-10</v>
      </c>
    </row>
    <row r="119" spans="1:22" x14ac:dyDescent="0.25">
      <c r="Q119" s="59"/>
    </row>
  </sheetData>
  <mergeCells count="6">
    <mergeCell ref="C1:E1"/>
    <mergeCell ref="G1:I1"/>
    <mergeCell ref="K1:M1"/>
    <mergeCell ref="C116:E116"/>
    <mergeCell ref="G116:K116"/>
    <mergeCell ref="M116:O116"/>
  </mergeCells>
  <pageMargins left="0.7" right="0.7" top="0.75" bottom="0.75" header="0.3" footer="0.3"/>
  <pageSetup scale="37" fitToHeight="3" orientation="landscape" r:id="rId1"/>
  <rowBreaks count="1" manualBreakCount="1">
    <brk id="53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DRAFT Operating Budget FY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Karle</dc:creator>
  <cp:lastModifiedBy>Elizabeth Karle</cp:lastModifiedBy>
  <dcterms:created xsi:type="dcterms:W3CDTF">2021-10-30T18:27:27Z</dcterms:created>
  <dcterms:modified xsi:type="dcterms:W3CDTF">2021-10-30T18:29:00Z</dcterms:modified>
</cp:coreProperties>
</file>